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20730" windowHeight="11580"/>
  </bookViews>
  <sheets>
    <sheet name="Mooring Configurations" sheetId="1" r:id="rId1"/>
    <sheet name="Mooring Lengths" sheetId="2" r:id="rId2"/>
    <sheet name="Wing" sheetId="8" r:id="rId3"/>
    <sheet name="Wet Weights" sheetId="3" r:id="rId4"/>
    <sheet name="CG-CB Prototype Check-Out" sheetId="5" r:id="rId5"/>
    <sheet name="CG-CB Final Baseline" sheetId="4" r:id="rId6"/>
    <sheet name="CG-CB Final Low Fr#" sheetId="6" r:id="rId7"/>
    <sheet name="CG-CB Final Upwind" sheetId="7" r:id="rId8"/>
  </sheets>
  <definedNames>
    <definedName name="_xlnm.Print_Area" localSheetId="0">'Mooring Configurations'!$BP$40:$BX$101</definedName>
  </definedNames>
  <calcPr calcId="145621"/>
</workbook>
</file>

<file path=xl/calcChain.xml><?xml version="1.0" encoding="utf-8"?>
<calcChain xmlns="http://schemas.openxmlformats.org/spreadsheetml/2006/main">
  <c r="BP35" i="1" l="1"/>
  <c r="BQ35" i="1" s="1"/>
  <c r="BP31" i="1"/>
  <c r="BQ31" i="1" s="1"/>
  <c r="BJ35" i="1"/>
  <c r="BK35" i="1" s="1"/>
  <c r="BJ31" i="1"/>
  <c r="BK31" i="1" s="1"/>
  <c r="BD35" i="1"/>
  <c r="BE35" i="1" s="1"/>
  <c r="BD31" i="1"/>
  <c r="BE31" i="1" s="1"/>
  <c r="AX35" i="1" l="1"/>
  <c r="AY35" i="1"/>
  <c r="AX31" i="1"/>
  <c r="AY31" i="1" s="1"/>
  <c r="F11" i="4" l="1"/>
  <c r="I11" i="4"/>
  <c r="C4" i="8" l="1"/>
  <c r="C3" i="8"/>
  <c r="E25" i="3"/>
  <c r="C12" i="3"/>
  <c r="D12" i="3"/>
  <c r="E12" i="3"/>
  <c r="H12" i="4"/>
  <c r="H11" i="4"/>
  <c r="U4" i="3" l="1"/>
  <c r="U8" i="3" l="1"/>
  <c r="U3" i="3"/>
  <c r="O15" i="3"/>
  <c r="O13" i="3"/>
  <c r="O7" i="3"/>
  <c r="O5" i="3"/>
  <c r="C19" i="2" l="1"/>
  <c r="C20" i="2" s="1"/>
  <c r="C21" i="2" s="1"/>
  <c r="C60" i="7" l="1"/>
  <c r="H56" i="7"/>
  <c r="H57" i="7" s="1"/>
  <c r="D56" i="7"/>
  <c r="C55" i="7"/>
  <c r="D55" i="7" s="1"/>
  <c r="E56" i="7" s="1"/>
  <c r="I14" i="7" s="1"/>
  <c r="H46" i="7" s="1"/>
  <c r="H47" i="7" s="1"/>
  <c r="H60" i="7" s="1"/>
  <c r="H54" i="7"/>
  <c r="H55" i="7" s="1"/>
  <c r="H59" i="7" s="1"/>
  <c r="H61" i="7" s="1"/>
  <c r="D53" i="7"/>
  <c r="E53" i="7" s="1"/>
  <c r="H52" i="7"/>
  <c r="D52" i="7"/>
  <c r="H50" i="7"/>
  <c r="I46" i="7"/>
  <c r="C46" i="7"/>
  <c r="H40" i="7"/>
  <c r="C36" i="7"/>
  <c r="H35" i="7"/>
  <c r="H39" i="7" s="1"/>
  <c r="H41" i="7" s="1"/>
  <c r="B35" i="7"/>
  <c r="H34" i="7"/>
  <c r="H32" i="7"/>
  <c r="H30" i="7"/>
  <c r="H36" i="7" s="1"/>
  <c r="C30" i="7"/>
  <c r="I24" i="7"/>
  <c r="I22" i="7"/>
  <c r="I21" i="7"/>
  <c r="I20" i="7"/>
  <c r="C15" i="7"/>
  <c r="E13" i="7"/>
  <c r="D13" i="7"/>
  <c r="H12" i="7"/>
  <c r="H5" i="7" s="1"/>
  <c r="H11" i="7"/>
  <c r="E11" i="7"/>
  <c r="C11" i="7"/>
  <c r="G6" i="7"/>
  <c r="F6" i="7"/>
  <c r="E6" i="7"/>
  <c r="I6" i="7" s="1"/>
  <c r="P5" i="7"/>
  <c r="F5" i="7"/>
  <c r="F12" i="7" s="1"/>
  <c r="E5" i="7"/>
  <c r="E12" i="7" s="1"/>
  <c r="D5" i="7"/>
  <c r="G5" i="7" s="1"/>
  <c r="G12" i="7" s="1"/>
  <c r="G4" i="7"/>
  <c r="G11" i="7" s="1"/>
  <c r="E4" i="7"/>
  <c r="C4" i="7"/>
  <c r="D4" i="4"/>
  <c r="O6" i="7" l="1"/>
  <c r="K6" i="7"/>
  <c r="P6" i="7"/>
  <c r="I4" i="7"/>
  <c r="I5" i="7"/>
  <c r="K5" i="7" s="1"/>
  <c r="H37" i="7"/>
  <c r="H13" i="7"/>
  <c r="I13" i="4"/>
  <c r="H6" i="6"/>
  <c r="H13" i="6"/>
  <c r="K4" i="7" l="1"/>
  <c r="J4" i="7"/>
  <c r="C39" i="7"/>
  <c r="H18" i="7"/>
  <c r="M11" i="6"/>
  <c r="C60" i="6"/>
  <c r="D56" i="6"/>
  <c r="H55" i="6"/>
  <c r="H59" i="6" s="1"/>
  <c r="C55" i="6"/>
  <c r="D55" i="6" s="1"/>
  <c r="H54" i="6"/>
  <c r="D53" i="6"/>
  <c r="E53" i="6" s="1"/>
  <c r="H52" i="6"/>
  <c r="D52" i="6"/>
  <c r="H50" i="6"/>
  <c r="H56" i="6" s="1"/>
  <c r="H57" i="6" s="1"/>
  <c r="I46" i="6"/>
  <c r="C46" i="6"/>
  <c r="H40" i="6"/>
  <c r="C36" i="6"/>
  <c r="B35" i="6"/>
  <c r="H34" i="6"/>
  <c r="H35" i="6" s="1"/>
  <c r="H39" i="6" s="1"/>
  <c r="H41" i="6" s="1"/>
  <c r="H32" i="6"/>
  <c r="H30" i="6"/>
  <c r="H36" i="6" s="1"/>
  <c r="C30" i="6"/>
  <c r="I24" i="6"/>
  <c r="I22" i="6"/>
  <c r="I20" i="6"/>
  <c r="I21" i="6" s="1"/>
  <c r="H12" i="6" s="1"/>
  <c r="H5" i="6" s="1"/>
  <c r="C15" i="6"/>
  <c r="C39" i="6"/>
  <c r="E13" i="6"/>
  <c r="D13" i="6"/>
  <c r="F12" i="6"/>
  <c r="H11" i="6"/>
  <c r="C11" i="6"/>
  <c r="M10" i="6"/>
  <c r="K10" i="6"/>
  <c r="G6" i="6"/>
  <c r="I6" i="6" s="1"/>
  <c r="I5" i="6" s="1"/>
  <c r="K5" i="6" s="1"/>
  <c r="F6" i="6"/>
  <c r="E6" i="6"/>
  <c r="P5" i="6"/>
  <c r="G5" i="6"/>
  <c r="G12" i="6" s="1"/>
  <c r="F5" i="6"/>
  <c r="E5" i="6"/>
  <c r="E12" i="6" s="1"/>
  <c r="D5" i="6"/>
  <c r="D4" i="6"/>
  <c r="E4" i="6" s="1"/>
  <c r="E11" i="6" s="1"/>
  <c r="C4" i="6"/>
  <c r="H24" i="7" l="1"/>
  <c r="H20" i="7"/>
  <c r="H37" i="6"/>
  <c r="E56" i="6"/>
  <c r="I14" i="6" s="1"/>
  <c r="H46" i="6" s="1"/>
  <c r="H47" i="6" s="1"/>
  <c r="H60" i="6" s="1"/>
  <c r="H61" i="6" s="1"/>
  <c r="H18" i="6"/>
  <c r="G4" i="6"/>
  <c r="G11" i="6" s="1"/>
  <c r="O6" i="6"/>
  <c r="I4" i="6"/>
  <c r="K4" i="6" s="1"/>
  <c r="P6" i="6"/>
  <c r="K6" i="6"/>
  <c r="K7" i="6" s="1"/>
  <c r="H22" i="7" l="1"/>
  <c r="H21" i="7"/>
  <c r="K8" i="6"/>
  <c r="M8" i="6" s="1"/>
  <c r="M9" i="6"/>
  <c r="H24" i="6"/>
  <c r="H20" i="6"/>
  <c r="H21" i="6" l="1"/>
  <c r="H22" i="6"/>
  <c r="Q5" i="4" l="1"/>
  <c r="I60" i="4" l="1"/>
  <c r="I54" i="4"/>
  <c r="I55" i="4" s="1"/>
  <c r="I59" i="4" s="1"/>
  <c r="I61" i="4" s="1"/>
  <c r="I52" i="4"/>
  <c r="I50" i="4"/>
  <c r="I56" i="4" s="1"/>
  <c r="I46" i="4"/>
  <c r="I47" i="4" s="1"/>
  <c r="J46" i="4"/>
  <c r="I41" i="4"/>
  <c r="I40" i="4"/>
  <c r="I39" i="4"/>
  <c r="I34" i="4"/>
  <c r="I35" i="4" s="1"/>
  <c r="I37" i="4" s="1"/>
  <c r="I30" i="4"/>
  <c r="I32" i="4"/>
  <c r="I36" i="4"/>
  <c r="I4" i="3"/>
  <c r="I57" i="4" l="1"/>
  <c r="G6" i="5"/>
  <c r="I18" i="4"/>
  <c r="H13" i="5" l="1"/>
  <c r="C47" i="5"/>
  <c r="H18" i="5"/>
  <c r="C60" i="5"/>
  <c r="D56" i="5"/>
  <c r="C55" i="5"/>
  <c r="D55" i="5" s="1"/>
  <c r="D53" i="5"/>
  <c r="D52" i="5"/>
  <c r="E53" i="5" s="1"/>
  <c r="C46" i="5"/>
  <c r="C36" i="5"/>
  <c r="B35" i="5"/>
  <c r="C30" i="5"/>
  <c r="I24" i="5"/>
  <c r="I20" i="5"/>
  <c r="I22" i="5" s="1"/>
  <c r="C15" i="5"/>
  <c r="E13" i="5"/>
  <c r="D13" i="5"/>
  <c r="H11" i="5"/>
  <c r="C11" i="5"/>
  <c r="F6" i="5"/>
  <c r="I6" i="5" s="1"/>
  <c r="E6" i="5"/>
  <c r="F5" i="5"/>
  <c r="F12" i="5" s="1"/>
  <c r="D5" i="5"/>
  <c r="E5" i="5" s="1"/>
  <c r="E12" i="5" s="1"/>
  <c r="D4" i="5"/>
  <c r="G4" i="5" s="1"/>
  <c r="G11" i="5" s="1"/>
  <c r="C4" i="5"/>
  <c r="I20" i="4"/>
  <c r="I22" i="4" s="1"/>
  <c r="G6" i="4"/>
  <c r="F6" i="4"/>
  <c r="K6" i="5" l="1"/>
  <c r="E56" i="5"/>
  <c r="I14" i="5" s="1"/>
  <c r="H20" i="5"/>
  <c r="H24" i="5"/>
  <c r="I21" i="5"/>
  <c r="H12" i="5" s="1"/>
  <c r="H5" i="5" s="1"/>
  <c r="G5" i="5"/>
  <c r="G12" i="5" s="1"/>
  <c r="E4" i="5"/>
  <c r="E11" i="5" s="1"/>
  <c r="C39" i="5"/>
  <c r="I21" i="4"/>
  <c r="J20" i="4"/>
  <c r="C46" i="4"/>
  <c r="J24" i="4" s="1"/>
  <c r="E42" i="3"/>
  <c r="F37" i="3"/>
  <c r="I4" i="5" l="1"/>
  <c r="K4" i="5" s="1"/>
  <c r="H22" i="5"/>
  <c r="H21" i="5"/>
  <c r="I5" i="5"/>
  <c r="K5" i="5" s="1"/>
  <c r="I24" i="4"/>
  <c r="E43" i="3"/>
  <c r="E44" i="3" s="1"/>
  <c r="N102" i="3"/>
  <c r="N103" i="3"/>
  <c r="N104" i="3"/>
  <c r="N105" i="3"/>
  <c r="N106" i="3"/>
  <c r="N107" i="3"/>
  <c r="N101" i="3"/>
  <c r="L98" i="3"/>
  <c r="N98" i="3" s="1"/>
  <c r="O98" i="3" s="1"/>
  <c r="L97" i="3"/>
  <c r="N97" i="3" s="1"/>
  <c r="O97" i="3" s="1"/>
  <c r="N108" i="3" l="1"/>
  <c r="D4" i="3"/>
  <c r="D6" i="3" s="1"/>
  <c r="E6" i="3" s="1"/>
  <c r="E30" i="3" l="1"/>
  <c r="E46" i="3" s="1"/>
  <c r="E7" i="3"/>
  <c r="H14" i="3"/>
  <c r="G13" i="7" l="1"/>
  <c r="G13" i="6"/>
  <c r="G13" i="5"/>
  <c r="G13" i="4"/>
  <c r="H19" i="3"/>
  <c r="I85" i="3" l="1"/>
  <c r="J4" i="3" l="1"/>
  <c r="J5" i="3" s="1"/>
  <c r="L90" i="3"/>
  <c r="L91" i="3" s="1"/>
  <c r="H90" i="3"/>
  <c r="K91" i="3"/>
  <c r="J90" i="3"/>
  <c r="I90" i="3" l="1"/>
  <c r="J91" i="3"/>
  <c r="M90" i="3"/>
  <c r="M91" i="3" s="1"/>
  <c r="J85" i="3"/>
  <c r="K84" i="3"/>
  <c r="L84" i="3" s="1"/>
  <c r="J84" i="3"/>
  <c r="I91" i="3" l="1"/>
  <c r="E36" i="3"/>
  <c r="K4" i="3"/>
  <c r="N90" i="3"/>
  <c r="O90" i="3" s="1"/>
  <c r="C48" i="3" s="1"/>
  <c r="N91" i="3"/>
  <c r="M84" i="3"/>
  <c r="L85" i="3"/>
  <c r="K85" i="3"/>
  <c r="E6" i="4" l="1"/>
  <c r="E37" i="3"/>
  <c r="E38" i="3" s="1"/>
  <c r="E13" i="4" s="1"/>
  <c r="O91" i="3"/>
  <c r="P108" i="3"/>
  <c r="I5" i="3"/>
  <c r="K5" i="3" s="1"/>
  <c r="H12" i="3" s="1"/>
  <c r="H15" i="3" s="1"/>
  <c r="H18" i="3" s="1"/>
  <c r="M85" i="3"/>
  <c r="N85" i="3" s="1"/>
  <c r="O85" i="3" s="1"/>
  <c r="N84" i="3"/>
  <c r="O84" i="3" s="1"/>
  <c r="C10" i="2"/>
  <c r="C60" i="4" l="1"/>
  <c r="C36" i="4"/>
  <c r="B35" i="4"/>
  <c r="D56" i="4"/>
  <c r="C55" i="4"/>
  <c r="D55" i="4" s="1"/>
  <c r="C30" i="4"/>
  <c r="D53" i="4"/>
  <c r="D52" i="4"/>
  <c r="C15" i="4"/>
  <c r="C39" i="4"/>
  <c r="D13" i="4"/>
  <c r="C11" i="4"/>
  <c r="F5" i="4"/>
  <c r="F12" i="4" s="1"/>
  <c r="D5" i="4"/>
  <c r="C4" i="4"/>
  <c r="E20" i="3"/>
  <c r="C5" i="3"/>
  <c r="P98" i="3" s="1"/>
  <c r="C11" i="3"/>
  <c r="P97" i="3" s="1"/>
  <c r="E15" i="3"/>
  <c r="E16" i="3" s="1"/>
  <c r="D10" i="3"/>
  <c r="C9" i="2"/>
  <c r="C11" i="2" s="1"/>
  <c r="E4" i="4" l="1"/>
  <c r="E11" i="4" s="1"/>
  <c r="G4" i="4"/>
  <c r="G11" i="4" s="1"/>
  <c r="E5" i="4"/>
  <c r="E12" i="4" s="1"/>
  <c r="G5" i="4"/>
  <c r="G12" i="4" s="1"/>
  <c r="E47" i="3"/>
  <c r="E48" i="3"/>
  <c r="E10" i="3"/>
  <c r="E24" i="3" s="1"/>
  <c r="D11" i="3"/>
  <c r="E11" i="3" s="1"/>
  <c r="E4" i="3"/>
  <c r="D5" i="3"/>
  <c r="E5" i="3" s="1"/>
  <c r="E53" i="4"/>
  <c r="E56" i="4"/>
  <c r="J14" i="4" s="1"/>
  <c r="J21" i="4"/>
  <c r="I12" i="4" s="1"/>
  <c r="I5" i="4" s="1"/>
  <c r="J22" i="4"/>
  <c r="E26" i="3" l="1"/>
  <c r="E29" i="3"/>
  <c r="F13" i="7" l="1"/>
  <c r="I13" i="7" s="1"/>
  <c r="F13" i="6"/>
  <c r="I13" i="6" s="1"/>
  <c r="F13" i="5"/>
  <c r="I13" i="5" s="1"/>
  <c r="F13" i="4"/>
  <c r="J6" i="4"/>
  <c r="E31" i="3"/>
  <c r="I12" i="7" l="1"/>
  <c r="K12" i="7" s="1"/>
  <c r="I15" i="7"/>
  <c r="O13" i="7"/>
  <c r="K13" i="7"/>
  <c r="I11" i="7"/>
  <c r="P13" i="7"/>
  <c r="K13" i="5"/>
  <c r="I12" i="5"/>
  <c r="K12" i="5" s="1"/>
  <c r="I15" i="5"/>
  <c r="I11" i="5"/>
  <c r="K11" i="5" s="1"/>
  <c r="P13" i="6"/>
  <c r="I11" i="6"/>
  <c r="K11" i="6" s="1"/>
  <c r="I15" i="6"/>
  <c r="I12" i="6"/>
  <c r="K12" i="6" s="1"/>
  <c r="K13" i="6"/>
  <c r="O13" i="6"/>
  <c r="P6" i="4"/>
  <c r="Q6" i="4"/>
  <c r="L6" i="4"/>
  <c r="J5" i="4"/>
  <c r="L5" i="4" s="1"/>
  <c r="J13" i="4"/>
  <c r="I16" i="6" l="1"/>
  <c r="C29" i="6"/>
  <c r="C37" i="6" s="1"/>
  <c r="C40" i="6" s="1"/>
  <c r="K15" i="6"/>
  <c r="I8" i="6"/>
  <c r="K20" i="6"/>
  <c r="C29" i="7"/>
  <c r="C37" i="7" s="1"/>
  <c r="C40" i="7" s="1"/>
  <c r="K15" i="7"/>
  <c r="I8" i="7"/>
  <c r="K20" i="7"/>
  <c r="K11" i="7"/>
  <c r="J11" i="7"/>
  <c r="I8" i="5"/>
  <c r="K15" i="5"/>
  <c r="K20" i="5"/>
  <c r="C29" i="5"/>
  <c r="C37" i="5" s="1"/>
  <c r="C40" i="5" s="1"/>
  <c r="Q13" i="4"/>
  <c r="P13" i="4"/>
  <c r="J12" i="4"/>
  <c r="L12" i="4" s="1"/>
  <c r="L13" i="4"/>
  <c r="J15" i="4"/>
  <c r="J8" i="4" l="1"/>
  <c r="L20" i="4"/>
  <c r="C29" i="4"/>
  <c r="C37" i="4" s="1"/>
  <c r="C40" i="4" s="1"/>
  <c r="L15" i="4"/>
  <c r="J11" i="4"/>
  <c r="L11" i="4" s="1"/>
  <c r="J4" i="4"/>
  <c r="L4" i="4" s="1"/>
</calcChain>
</file>

<file path=xl/comments1.xml><?xml version="1.0" encoding="utf-8"?>
<comments xmlns="http://schemas.openxmlformats.org/spreadsheetml/2006/main">
  <authors>
    <author>Henry Swales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2x 6" Fwd Mooring Brackets
1x 10.3" Aft Mooring Bracket</t>
        </r>
      </text>
    </comment>
    <comment ref="D7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Original Estimate. Increased to match prototype buoyancy calibraiton. Delta may be due to wiring connectors, shackles, etc.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2x 6" Fwd Mooring Brackets
1x 10.3" Aft Mooring Bracket</t>
        </r>
      </text>
    </comment>
    <comment ref="C55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Based on Tyler's 2xCBM6000 mass estimate.</t>
        </r>
      </text>
    </comment>
  </commentList>
</comments>
</file>

<file path=xl/comments2.xml><?xml version="1.0" encoding="utf-8"?>
<comments xmlns="http://schemas.openxmlformats.org/spreadsheetml/2006/main">
  <authors>
    <author>Henry Swales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2x 6" Fwd Mooring Brackets
1x 10.3" Aft Mooring Bracket</t>
        </r>
      </text>
    </comment>
    <comment ref="D7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Original Estimate.
Increased to match prototype buoyancy calibraiton. Delta may be due to wiring connectors, shackles, etc.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2x 6" Fwd Mooring Brackets
1x 10.3" Aft Mooring Bracket</t>
        </r>
      </text>
    </comment>
    <comment ref="C55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Based on Tyler's 2xCBM6000 mass estimate.</t>
        </r>
      </text>
    </comment>
  </commentList>
</comments>
</file>

<file path=xl/comments3.xml><?xml version="1.0" encoding="utf-8"?>
<comments xmlns="http://schemas.openxmlformats.org/spreadsheetml/2006/main">
  <authors>
    <author>Henry Swales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2x 6" Fwd Mooring Brackets
1x 10.3" Aft Mooring Bracket</t>
        </r>
      </text>
    </comment>
    <comment ref="D7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Original Estimate.
Increased to match prototype buoyancy calibraiton. Delta may be due to wiring connectors, shackles, etc.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2x 6" Fwd Mooring Brackets
1x 10.3" Aft Mooring Bracket</t>
        </r>
      </text>
    </comment>
    <comment ref="C55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Based on Tyler's 2xCBM6000 mass estimate.</t>
        </r>
      </text>
    </comment>
  </commentList>
</comments>
</file>

<file path=xl/comments4.xml><?xml version="1.0" encoding="utf-8"?>
<comments xmlns="http://schemas.openxmlformats.org/spreadsheetml/2006/main">
  <authors>
    <author>Henry Swales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2x 6" Fwd Mooring Brackets
1x 10.3" Aft Mooring Bracket</t>
        </r>
      </text>
    </comment>
    <comment ref="D7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Original Estimate.
Increased to match prototype buoyancy calibraiton. Delta may be due to wiring connectors, shackles, etc.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2x 6" Fwd Mooring Brackets
1x 10.3" Aft Mooring Bracket</t>
        </r>
      </text>
    </comment>
    <comment ref="C55" authorId="0">
      <text>
        <r>
          <rPr>
            <b/>
            <sz val="9"/>
            <color indexed="81"/>
            <rFont val="Tahoma"/>
            <family val="2"/>
          </rPr>
          <t>Henry Swales:</t>
        </r>
        <r>
          <rPr>
            <sz val="9"/>
            <color indexed="81"/>
            <rFont val="Tahoma"/>
            <family val="2"/>
          </rPr>
          <t xml:space="preserve">
Based on Tyler's 2xCBM6000 mass estimate.</t>
        </r>
      </text>
    </comment>
  </commentList>
</comments>
</file>

<file path=xl/sharedStrings.xml><?xml version="1.0" encoding="utf-8"?>
<sst xmlns="http://schemas.openxmlformats.org/spreadsheetml/2006/main" count="852" uniqueCount="302">
  <si>
    <t>CG Mooring - No Wing</t>
  </si>
  <si>
    <t>Platform Forces</t>
  </si>
  <si>
    <t>X
(m)</t>
  </si>
  <si>
    <t>Z
(m)</t>
  </si>
  <si>
    <t>CG - Both Nacelles</t>
  </si>
  <si>
    <t>CB - Both Nacelles</t>
  </si>
  <si>
    <t>Front Mooring Line</t>
  </si>
  <si>
    <t>Vertical Mooring Line</t>
  </si>
  <si>
    <t>Rotor Thrust &amp; Moments</t>
  </si>
  <si>
    <t>Wing Force (Zero)</t>
  </si>
  <si>
    <t>m</t>
  </si>
  <si>
    <t>Max Mooring Angle</t>
  </si>
  <si>
    <t>deg</t>
  </si>
  <si>
    <t>Front Mooring Line Measured Length:</t>
  </si>
  <si>
    <t>Front Mooring Line Horizontal Distance:</t>
  </si>
  <si>
    <t>Aft Mooring Line Measure Length:</t>
  </si>
  <si>
    <t>Condition</t>
  </si>
  <si>
    <t>Aft Polyester Length
(m)</t>
  </si>
  <si>
    <t>Aft Polyester Weight
(lbf)</t>
  </si>
  <si>
    <t>Fwd Polyester Length
(m)</t>
  </si>
  <si>
    <t>Fwd Polyester Weight
(lbf)</t>
  </si>
  <si>
    <t>Aft Chain Weight
(lbf)</t>
  </si>
  <si>
    <t>Aft Shackle Weight
(lbf)</t>
  </si>
  <si>
    <t>Total Mooring Weight
(lbf)</t>
  </si>
  <si>
    <t>Dry</t>
  </si>
  <si>
    <t>Wet</t>
  </si>
  <si>
    <t>Polyester Specific Gravity</t>
  </si>
  <si>
    <t>Stainless Steel Specific Gravity</t>
  </si>
  <si>
    <t>Umbilical Specific Gravity</t>
  </si>
  <si>
    <t>Single Power Pod &amp; 1/2 Transverse Structure</t>
  </si>
  <si>
    <t>Weight (lbf)</t>
  </si>
  <si>
    <t>Single Power Pod CG</t>
  </si>
  <si>
    <t>1/2 Transverse Structure &amp; Mooring Bracket Weight</t>
  </si>
  <si>
    <t>Final CG (1/2 Platform)</t>
  </si>
  <si>
    <t>Notes</t>
  </si>
  <si>
    <t>Conversion to Full Scale (Both Pods)</t>
  </si>
  <si>
    <t>Distance from Rotor Ref. Point  X (in)</t>
  </si>
  <si>
    <t>Distance from Rotor Axis  Z (in)</t>
  </si>
  <si>
    <t>kN</t>
  </si>
  <si>
    <t>Required Additional Buoyancy</t>
  </si>
  <si>
    <t xml:space="preserve"> </t>
  </si>
  <si>
    <t>Buoyancy</t>
  </si>
  <si>
    <t>Single Power Pod CB</t>
  </si>
  <si>
    <t>1/2 Transverse Structure &amp; Mooring Bracket Buoyancy</t>
  </si>
  <si>
    <t>Final CB (1/2 Platform)</t>
  </si>
  <si>
    <t>Buoyancy (lbf)</t>
  </si>
  <si>
    <t>Desired Net Buoyancy (lbf)</t>
  </si>
  <si>
    <t>Calculated Net Buoyancy (lbf)</t>
  </si>
  <si>
    <t>Piggyback Buoyancy</t>
  </si>
  <si>
    <t>Model Thrust per Rotor TSR=8</t>
  </si>
  <si>
    <t>Thrust to Net Buoyancy Ratio</t>
  </si>
  <si>
    <t>Cylinder x-section Area (sq.in.)</t>
  </si>
  <si>
    <t>Cylinder Diameter (in)</t>
  </si>
  <si>
    <t>Original DCAB</t>
  </si>
  <si>
    <t>Full-Scale Both (kN)</t>
  </si>
  <si>
    <t>Model Single (lbf)</t>
  </si>
  <si>
    <t>Model Single Net Buoyancy (lbf)</t>
  </si>
  <si>
    <t>Weight</t>
  </si>
  <si>
    <t>lb - total platform desired net buoyancy</t>
  </si>
  <si>
    <t>lb - 1st cut measured total net buoyancy (INCLUDES 0.8lb Trim Weight, 1lb HANGER)</t>
  </si>
  <si>
    <t>Updated</t>
  </si>
  <si>
    <t>1st</t>
  </si>
  <si>
    <t>2nd</t>
  </si>
  <si>
    <t>Width</t>
  </si>
  <si>
    <t>Height</t>
  </si>
  <si>
    <t>Previously sent to Coakley (based on incorrect Solidworks Mass)</t>
  </si>
  <si>
    <t>Length</t>
  </si>
  <si>
    <t>Total Pod Buoyancy (Both Pods)</t>
  </si>
  <si>
    <t>single model nacelle, lbf</t>
  </si>
  <si>
    <t>Target Total Pod Buoyancy to hit desired Total Platform Net Buoyancy</t>
  </si>
  <si>
    <t>Design Total Pod Buoyancy (Both Pods)</t>
  </si>
  <si>
    <t>Delta (design to actual)</t>
  </si>
  <si>
    <t>Bridled Front Moorings - No Wing</t>
  </si>
  <si>
    <t>Configuration #1 - Design</t>
  </si>
  <si>
    <t>Configuration #2 - Design</t>
  </si>
  <si>
    <t>High Front Moorings - No Wing</t>
  </si>
  <si>
    <t>Low Front Moorings - No Wing</t>
  </si>
  <si>
    <t>1.5m Operating Depth - Not Used</t>
  </si>
  <si>
    <t>2.0m Operating Depth - Used</t>
  </si>
  <si>
    <t>Wing Force</t>
  </si>
  <si>
    <t>Desired Pipe center mooring attachment radial distance</t>
  </si>
  <si>
    <t>Actual Pipe center to mooring attachment radial distance</t>
  </si>
  <si>
    <t>Height above Nacelle Floor of Front mooring lines</t>
  </si>
  <si>
    <t>Width of Front Mooring Lines</t>
  </si>
  <si>
    <t>4.6"</t>
  </si>
  <si>
    <t>Front mooring lines not joined</t>
  </si>
  <si>
    <t>3.385"</t>
  </si>
  <si>
    <t>10.3"</t>
  </si>
  <si>
    <t>Stinger used</t>
  </si>
  <si>
    <t>Width of front mooring lines</t>
  </si>
  <si>
    <t>1.6"</t>
  </si>
  <si>
    <t>1.975"</t>
  </si>
  <si>
    <t>1.75"</t>
  </si>
  <si>
    <t>4.1"</t>
  </si>
  <si>
    <t>Front Mooring Line Test Length:</t>
  </si>
  <si>
    <t>Aft Mooring Line Test Length:</t>
  </si>
  <si>
    <t>Length (in)</t>
  </si>
  <si>
    <t>Height (in)</t>
  </si>
  <si>
    <t>Width (in)</t>
  </si>
  <si>
    <t>Pod 1 Weight (lbf)</t>
  </si>
  <si>
    <t>Pod 2 Weight (lbf)</t>
  </si>
  <si>
    <t>Prototype Buoyancy Pod Calcs</t>
  </si>
  <si>
    <t>As Tested Prototype Buoyancy Pod Dimentions (Not Calibrated for Chain, Polyester Line, Cable)</t>
  </si>
  <si>
    <t>Notes:</t>
  </si>
  <si>
    <t>Pod Length (in)</t>
  </si>
  <si>
    <t>Configuration #1 - As Tested</t>
  </si>
  <si>
    <t>Configuration #3 - As Tested</t>
  </si>
  <si>
    <t>Configuration #2 - As Tested</t>
  </si>
  <si>
    <t>Same Brackets =&gt; logitudinal &amp; vertical postion as Config #3</t>
  </si>
  <si>
    <t>140cm</t>
  </si>
  <si>
    <t>Configuration #4 - As Tested</t>
  </si>
  <si>
    <t>OD</t>
  </si>
  <si>
    <t>Description</t>
  </si>
  <si>
    <t>Port Nacelle Power (Carol E2042S)</t>
  </si>
  <si>
    <t>Port Nacelle Comms + IO (Cat5e UTP PVC)</t>
  </si>
  <si>
    <t>Stbd Nacelle Power (Carol E2042S)</t>
  </si>
  <si>
    <t>Port 6DOF (3M 3600B)</t>
  </si>
  <si>
    <t>Stbd 6DOF (3M 3600B)</t>
  </si>
  <si>
    <t>Body IMU (Belden 8434)</t>
  </si>
  <si>
    <t>Body Depth (Belden 8434)</t>
  </si>
  <si>
    <t>Length (ft)</t>
  </si>
  <si>
    <t>Mass (slug)</t>
  </si>
  <si>
    <t>Diameter (ft)</t>
  </si>
  <si>
    <t>Area (ft^2)</t>
  </si>
  <si>
    <t>Volume (ft^3)</t>
  </si>
  <si>
    <t>Density (slug/ft^3)</t>
  </si>
  <si>
    <t>Specific Gravity</t>
  </si>
  <si>
    <t>See Above</t>
  </si>
  <si>
    <t>Dynamic Check-Out: 5 Cable Bundle (1 Power Cable, No Depth Cable)</t>
  </si>
  <si>
    <t>OD (in)</t>
  </si>
  <si>
    <t>Umbilical Length
(m)</t>
  </si>
  <si>
    <t>Umbilical Weight
(lbf)</t>
  </si>
  <si>
    <t>Fwd Polyester Linear Density
(kg/m)</t>
  </si>
  <si>
    <t>Aft Polyester Linear Density
(kg/m)</t>
  </si>
  <si>
    <t>Umbilical Linear Density
(kg/m)</t>
  </si>
  <si>
    <t>Single 6DOF Cable: Manufacturer Spec.</t>
  </si>
  <si>
    <t>Port Nacelle Comms + IO (L-Com TFC2004)</t>
  </si>
  <si>
    <t>Body IMU+Heading (L-Com TFC2004)</t>
  </si>
  <si>
    <t>0.18  TP Inline Tension1 (Belden 8434)</t>
  </si>
  <si>
    <t>0.18  TP Inline Tension2 (Belden 8434)</t>
  </si>
  <si>
    <t>Final Dynamic Test:</t>
  </si>
  <si>
    <t>Dynamic Check-Out:</t>
  </si>
  <si>
    <t>Planned, but not Used During Dynamic Check-Out</t>
  </si>
  <si>
    <t>*To be buoyancy compensated along length</t>
  </si>
  <si>
    <t>Float Length (in)</t>
  </si>
  <si>
    <t>Float Efficiency (*)</t>
  </si>
  <si>
    <t># Floats</t>
  </si>
  <si>
    <t>Total Buoyancy Length (in)</t>
  </si>
  <si>
    <t>Buoyancy Volume (cu.in.)</t>
  </si>
  <si>
    <t>Buoyancy Cylinder Diameter (in)</t>
  </si>
  <si>
    <t>Buoyancy Cylinder x-section Area (sq.in.)</t>
  </si>
  <si>
    <t>Umbilical
Buoyancy Comp.</t>
  </si>
  <si>
    <t>Platform Remaining Net Buoyancy</t>
  </si>
  <si>
    <t>Diameter (in)</t>
  </si>
  <si>
    <t>W(air)-lbs</t>
  </si>
  <si>
    <t>W(water)-lbs</t>
  </si>
  <si>
    <t>Red Mooring Lines</t>
  </si>
  <si>
    <t>6 mm</t>
  </si>
  <si>
    <t>AFT Line</t>
  </si>
  <si>
    <t>8 mm</t>
  </si>
  <si>
    <t>FWD Line</t>
  </si>
  <si>
    <t>Electric Cables</t>
  </si>
  <si>
    <t>-</t>
  </si>
  <si>
    <t>White 6-DOF Cable</t>
  </si>
  <si>
    <t>Gray CAT 5 cable</t>
  </si>
  <si>
    <t>White COMM CAT 5 Cable</t>
  </si>
  <si>
    <t>Buoyancy per Float (lbf)</t>
  </si>
  <si>
    <t>Moorings:</t>
  </si>
  <si>
    <t>Umbilical:</t>
  </si>
  <si>
    <t>Floats:</t>
  </si>
  <si>
    <t>Wet Linear Density (lbf/ft)</t>
  </si>
  <si>
    <t>% Difference from Estimate</t>
  </si>
  <si>
    <t>Wet Linear Density (kg/m)</t>
  </si>
  <si>
    <t>Dry Density (slug/ft^3)</t>
  </si>
  <si>
    <t>AVG</t>
  </si>
  <si>
    <t>Estimates</t>
  </si>
  <si>
    <t>Nacelle Power (Carol E2042S)</t>
  </si>
  <si>
    <t>Tether (Platform Center) to Port Nacelle:</t>
  </si>
  <si>
    <t>Tether (Platform Center) to Starboard Nacelle:</t>
  </si>
  <si>
    <t>Port Nacelle to Starboard Nacelle:</t>
  </si>
  <si>
    <t>Nacelle Comms + IO (L-Com TFC2004)</t>
  </si>
  <si>
    <t>Shares Port Power</t>
  </si>
  <si>
    <t>7 cables from Tow Point to C-Plane</t>
  </si>
  <si>
    <t>2 cables from topside to Tow Point</t>
  </si>
  <si>
    <t>Topside to Tow Point:</t>
  </si>
  <si>
    <t>Topside to C-Plane:</t>
  </si>
  <si>
    <t>Summary:</t>
  </si>
  <si>
    <t>Transverse Wiring</t>
  </si>
  <si>
    <t>Nose Cones</t>
  </si>
  <si>
    <t>Accura60 Specific Gravity</t>
  </si>
  <si>
    <t>Transverse Wiring Weight
(lbf)</t>
  </si>
  <si>
    <t>Nose Cones Weight
(lbf)</t>
  </si>
  <si>
    <t>Wet Estimate</t>
  </si>
  <si>
    <t>Wet Measured</t>
  </si>
  <si>
    <t>% Reduction</t>
  </si>
  <si>
    <t>Total Unaccounted for Wet Weight</t>
  </si>
  <si>
    <t>Buoyancy Pod Weight (Piggyback)</t>
  </si>
  <si>
    <t>Buoyancy Pod Buoyancy (Piggyback)</t>
  </si>
  <si>
    <t>Volume (in^3)</t>
  </si>
  <si>
    <t>Transverse Wiring Buoyancy</t>
  </si>
  <si>
    <t>Rectangle Width &amp; Height (in)</t>
  </si>
  <si>
    <t>1/2 Transverse Wiring Buoyancy</t>
  </si>
  <si>
    <t>1/2 Transverse Wiring Weight</t>
  </si>
  <si>
    <t>Single Volume (cu.in.)</t>
  </si>
  <si>
    <t>*Less weight of buoyancy pods</t>
  </si>
  <si>
    <t>Total Additional Buoyancy from Prototype (2x Pods) lbf.</t>
  </si>
  <si>
    <t>*Less than unaccounted for Wet Weights - partly because nose cones are included, partly due to calculated weight error.</t>
  </si>
  <si>
    <t>Nose Cone Buoyancy</t>
  </si>
  <si>
    <t>1/2 Aft Mooring Weight</t>
  </si>
  <si>
    <t>1/2 Aft Mooring Buoyancy</t>
  </si>
  <si>
    <t>1/2 Fwd Mooring Weight</t>
  </si>
  <si>
    <t>1/2 Fwd Mooring Buoyancy</t>
  </si>
  <si>
    <t>Total Aft Mooring Weight
(lbf)</t>
  </si>
  <si>
    <t>Aft Mooring System Buoyancy</t>
  </si>
  <si>
    <t>Total Mooring System Buoyancy</t>
  </si>
  <si>
    <t>Fwd Mooring System Buoyancy</t>
  </si>
  <si>
    <t>*Calibrated Volume, Plus Unaccounted For Wet Weight, Plus 1lb Per Power Pod</t>
  </si>
  <si>
    <t># Cables</t>
  </si>
  <si>
    <t>Mass of Baseline Buoyancy Pod (kg)</t>
  </si>
  <si>
    <t>Weight of Baseline Buoyancy Pod (lbf)</t>
  </si>
  <si>
    <t>Total Buoyancy of Baseline Buoyancy Pod (lbf)</t>
  </si>
  <si>
    <t>Net Buoyancy of Baseline Buoyancy Pod (lbf)</t>
  </si>
  <si>
    <t>Total Displacement of Baseline Buoyancy Pod (in^3)</t>
  </si>
  <si>
    <t>Material Volume of Baseline Buoyancy Pod (in^3)</t>
  </si>
  <si>
    <t>Material Volume of Baseline Buoyancy Pod (cc)</t>
  </si>
  <si>
    <t>Total Displacement of Baseline Buoyancy Pod (cc)</t>
  </si>
  <si>
    <t>Density of Buoyancy Pod Material (g/cc)</t>
  </si>
  <si>
    <t>Total Design Displacement (in^3)</t>
  </si>
  <si>
    <t>Additional Weight Compensation Displacement Required (in^3)</t>
  </si>
  <si>
    <t>Baseline Full-Scale Rotor Diameter (m)</t>
  </si>
  <si>
    <t>New Full-Scale Rotor Diameter (m)</t>
  </si>
  <si>
    <t>New Froude Scale Buoyancy Pod Displacement Calcs</t>
  </si>
  <si>
    <t>Starting Displacement (in^3)</t>
  </si>
  <si>
    <t>New Starting Displacement (in^3)</t>
  </si>
  <si>
    <t>Total Displacement of New Buoyancy Pod (cc)</t>
  </si>
  <si>
    <t>Total Displacement of New Buoyancy Pod (in^3)</t>
  </si>
  <si>
    <t>Material Volume of New Buoyancy Pod (cc)</t>
  </si>
  <si>
    <t>Material Volume of New Buoyancy Pod (in^3)</t>
  </si>
  <si>
    <t>Mass of New Buoyancy Pod (kg)</t>
  </si>
  <si>
    <t>Weight of New Buoyancy Pod (lbf)</t>
  </si>
  <si>
    <t>Total Buoyancy of New Buoyancy Pod (lbf)</t>
  </si>
  <si>
    <t>Net Buoyancy of New Buoyancy Pod (lbf)</t>
  </si>
  <si>
    <t>Additional Displacement for 20m Rotor Thrust. Not including Extra Pod Weight.  (in^3)</t>
  </si>
  <si>
    <t>Baseline Buoyancy Pod Displacement Calcs</t>
  </si>
  <si>
    <t>tyler 20m kg</t>
  </si>
  <si>
    <t>froude 20m kg</t>
  </si>
  <si>
    <t>model based on tyler 20m kg</t>
  </si>
  <si>
    <t>45.5m kg</t>
  </si>
  <si>
    <t>1/2 Platform lbf</t>
  </si>
  <si>
    <t>20m to 45.5m Mass Ratio</t>
  </si>
  <si>
    <t>20m to 45.5m Thrust Ratio</t>
  </si>
  <si>
    <t>Dry Weight</t>
  </si>
  <si>
    <t>lb</t>
  </si>
  <si>
    <t>in</t>
  </si>
  <si>
    <t>Dry Weight (fish scale)</t>
  </si>
  <si>
    <t>&lt;0.1</t>
  </si>
  <si>
    <t>Dry Weight (sensor &amp; shackles only- fish scale)</t>
  </si>
  <si>
    <t>Wet Weight (sensor &amp; shackles only- fish scale)</t>
  </si>
  <si>
    <t>Dry Weight (sensor &amp; shackles only)</t>
  </si>
  <si>
    <t>Aft 25lb Tension Sensor (Including Cable, Connector, Shackles)</t>
  </si>
  <si>
    <t>Front 250lb Tension Sensor (Including Cable, Connector, Shackles)</t>
  </si>
  <si>
    <t>Aft Tension Sensor to Side of Rig</t>
  </si>
  <si>
    <t>Side of Rig to Water Surface</t>
  </si>
  <si>
    <t>Water Surface to Carriage</t>
  </si>
  <si>
    <t>Carriage to Control Room</t>
  </si>
  <si>
    <t>Buffer</t>
  </si>
  <si>
    <t>Aft Tension Sensor Cable Run</t>
  </si>
  <si>
    <t>Total</t>
  </si>
  <si>
    <t>ft</t>
  </si>
  <si>
    <t>Guage Accuracy +/- 0.25lb</t>
  </si>
  <si>
    <t>lbm</t>
  </si>
  <si>
    <t>Tension Sensors:</t>
  </si>
  <si>
    <t>Sensor Bracket</t>
  </si>
  <si>
    <t>Keel (304SS):</t>
  </si>
  <si>
    <t>Dry Weight: Both Plate with Hardware (4x SS Socket Head 2.5" 1/4-20 w/ nut and washer)</t>
  </si>
  <si>
    <t>Dry Weight: Both Plates with Hardware (2x SS Socket Head w/ nylock nut, washer)</t>
  </si>
  <si>
    <t>Design Dry Weight (without hardware)</t>
  </si>
  <si>
    <t>Ballast</t>
  </si>
  <si>
    <t>Measurements from Kunal (Scale Found to be in Error!):</t>
  </si>
  <si>
    <t>Check</t>
  </si>
  <si>
    <t>Bad</t>
  </si>
  <si>
    <t>Planform Area</t>
  </si>
  <si>
    <t>Span</t>
  </si>
  <si>
    <t>Chord</t>
  </si>
  <si>
    <t>m^2</t>
  </si>
  <si>
    <t>Magnitude
(kN)</t>
  </si>
  <si>
    <t>Calculated</t>
  </si>
  <si>
    <t>Transverse Structure</t>
  </si>
  <si>
    <t>Conversion to (Both Pods)</t>
  </si>
  <si>
    <t>Scale Factor:</t>
  </si>
  <si>
    <t>Pre-Test Design Spec</t>
  </si>
  <si>
    <t>Dynamic Check-Out Configs</t>
  </si>
  <si>
    <t>Final Dynamic Test Configs</t>
  </si>
  <si>
    <t xml:space="preserve">Pipe Center to Mooring Attachment Radial Distance: </t>
  </si>
  <si>
    <t>Nacelle Floor to Mooring Attachment Vertical Distance:</t>
  </si>
  <si>
    <t>Low Front Moorings - With Wing</t>
  </si>
  <si>
    <t>High Front Moorings - With Wing</t>
  </si>
  <si>
    <t>Configuration #7 - Final Test Spec</t>
  </si>
  <si>
    <t>Configuration #6 - Final Test Spec</t>
  </si>
  <si>
    <t>Configuration #5 - Final Test Spec</t>
  </si>
  <si>
    <t>Configuration #2 - Final Baseline Spec</t>
  </si>
  <si>
    <t>Low Front Moorings - With Wing - With Bridle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</si>
</sst>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0"/>
    <numFmt numFmtId="166" formatCode="0.0000"/>
    <numFmt numFmtId="167" formatCode="0.0"/>
  </numFmts>
  <fonts count="12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trike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5A5A5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medium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3" fillId="3" borderId="24" applyNumberFormat="0" applyAlignment="0" applyProtection="0"/>
    <xf numFmtId="0" fontId="4" fillId="4" borderId="24" applyNumberFormat="0" applyAlignment="0" applyProtection="0"/>
    <xf numFmtId="0" fontId="9" fillId="7" borderId="46" applyNumberFormat="0" applyAlignment="0" applyProtection="0"/>
  </cellStyleXfs>
  <cellXfs count="307">
    <xf numFmtId="0" fontId="0" fillId="0" borderId="0" xfId="0"/>
    <xf numFmtId="0" fontId="2" fillId="0" borderId="0" xfId="0" applyFont="1"/>
    <xf numFmtId="164" fontId="0" fillId="0" borderId="22" xfId="0" applyNumberFormat="1" applyBorder="1" applyAlignment="1">
      <alignment horizontal="right" vertical="center"/>
    </xf>
    <xf numFmtId="164" fontId="1" fillId="2" borderId="5" xfId="1" applyNumberFormat="1" applyBorder="1" applyAlignment="1">
      <alignment horizontal="right" vertical="center"/>
    </xf>
    <xf numFmtId="164" fontId="0" fillId="0" borderId="23" xfId="0" applyNumberFormat="1" applyBorder="1" applyAlignment="1">
      <alignment horizontal="right" vertical="center"/>
    </xf>
    <xf numFmtId="164" fontId="0" fillId="0" borderId="2" xfId="0" applyNumberFormat="1" applyBorder="1" applyAlignment="1">
      <alignment horizontal="right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64" fontId="0" fillId="0" borderId="3" xfId="0" applyNumberFormat="1" applyBorder="1" applyAlignment="1">
      <alignment horizontal="right" vertical="center"/>
    </xf>
    <xf numFmtId="164" fontId="0" fillId="0" borderId="4" xfId="0" applyNumberFormat="1" applyBorder="1" applyAlignment="1">
      <alignment horizontal="right" vertical="center"/>
    </xf>
    <xf numFmtId="164" fontId="0" fillId="0" borderId="5" xfId="0" applyNumberFormat="1" applyBorder="1" applyAlignment="1">
      <alignment horizontal="right" vertical="center"/>
    </xf>
    <xf numFmtId="164" fontId="0" fillId="0" borderId="7" xfId="0" applyNumberFormat="1" applyBorder="1" applyAlignment="1">
      <alignment horizontal="right" vertical="center"/>
    </xf>
    <xf numFmtId="164" fontId="1" fillId="2" borderId="4" xfId="1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164" fontId="0" fillId="0" borderId="0" xfId="0" applyNumberFormat="1" applyBorder="1"/>
    <xf numFmtId="0" fontId="0" fillId="0" borderId="21" xfId="0" applyBorder="1"/>
    <xf numFmtId="0" fontId="0" fillId="0" borderId="0" xfId="0"/>
    <xf numFmtId="164" fontId="0" fillId="0" borderId="2" xfId="0" applyNumberFormat="1" applyBorder="1" applyAlignment="1">
      <alignment horizontal="right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0" xfId="0" applyBorder="1"/>
    <xf numFmtId="164" fontId="0" fillId="0" borderId="3" xfId="0" applyNumberFormat="1" applyBorder="1" applyAlignment="1">
      <alignment horizontal="right" vertical="center"/>
    </xf>
    <xf numFmtId="164" fontId="0" fillId="0" borderId="4" xfId="0" applyNumberFormat="1" applyBorder="1" applyAlignment="1">
      <alignment horizontal="right" vertical="center"/>
    </xf>
    <xf numFmtId="164" fontId="0" fillId="0" borderId="5" xfId="0" applyNumberFormat="1" applyBorder="1" applyAlignment="1">
      <alignment horizontal="right" vertical="center"/>
    </xf>
    <xf numFmtId="0" fontId="2" fillId="0" borderId="0" xfId="0" applyFont="1"/>
    <xf numFmtId="164" fontId="0" fillId="0" borderId="7" xfId="0" applyNumberFormat="1" applyBorder="1" applyAlignment="1">
      <alignment horizontal="right" vertical="center"/>
    </xf>
    <xf numFmtId="164" fontId="1" fillId="2" borderId="4" xfId="1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0" fontId="0" fillId="0" borderId="20" xfId="0" applyBorder="1"/>
    <xf numFmtId="0" fontId="0" fillId="0" borderId="15" xfId="0" applyBorder="1"/>
    <xf numFmtId="0" fontId="0" fillId="0" borderId="16" xfId="0" applyBorder="1"/>
    <xf numFmtId="164" fontId="0" fillId="0" borderId="0" xfId="0" applyNumberForma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5" fillId="0" borderId="0" xfId="0" applyFont="1"/>
    <xf numFmtId="165" fontId="0" fillId="0" borderId="0" xfId="0" applyNumberFormat="1"/>
    <xf numFmtId="0" fontId="2" fillId="0" borderId="11" xfId="0" applyFont="1" applyBorder="1" applyAlignment="1">
      <alignment horizontal="center"/>
    </xf>
    <xf numFmtId="164" fontId="0" fillId="0" borderId="1" xfId="0" applyNumberFormat="1" applyBorder="1"/>
    <xf numFmtId="164" fontId="0" fillId="0" borderId="12" xfId="0" applyNumberFormat="1" applyBorder="1"/>
    <xf numFmtId="0" fontId="2" fillId="0" borderId="13" xfId="0" applyFont="1" applyBorder="1" applyAlignment="1">
      <alignment horizontal="center"/>
    </xf>
    <xf numFmtId="0" fontId="2" fillId="5" borderId="0" xfId="0" applyFont="1" applyFill="1"/>
    <xf numFmtId="0" fontId="2" fillId="0" borderId="14" xfId="0" applyFont="1" applyBorder="1"/>
    <xf numFmtId="0" fontId="2" fillId="0" borderId="20" xfId="0" applyFont="1" applyBorder="1"/>
    <xf numFmtId="0" fontId="2" fillId="0" borderId="15" xfId="0" applyFont="1" applyBorder="1"/>
    <xf numFmtId="0" fontId="2" fillId="0" borderId="0" xfId="0" applyFont="1" applyFill="1" applyBorder="1"/>
    <xf numFmtId="2" fontId="3" fillId="3" borderId="24" xfId="2" applyNumberFormat="1" applyBorder="1"/>
    <xf numFmtId="2" fontId="4" fillId="5" borderId="24" xfId="3" applyNumberFormat="1" applyFill="1" applyBorder="1"/>
    <xf numFmtId="164" fontId="0" fillId="0" borderId="0" xfId="0" applyNumberFormat="1"/>
    <xf numFmtId="2" fontId="3" fillId="3" borderId="30" xfId="2" applyNumberFormat="1" applyBorder="1"/>
    <xf numFmtId="2" fontId="4" fillId="4" borderId="24" xfId="3" applyNumberFormat="1" applyBorder="1"/>
    <xf numFmtId="2" fontId="3" fillId="3" borderId="24" xfId="2" applyNumberFormat="1"/>
    <xf numFmtId="2" fontId="4" fillId="4" borderId="31" xfId="3" applyNumberFormat="1" applyBorder="1"/>
    <xf numFmtId="2" fontId="0" fillId="0" borderId="20" xfId="0" applyNumberFormat="1" applyBorder="1"/>
    <xf numFmtId="4" fontId="0" fillId="0" borderId="20" xfId="0" applyNumberFormat="1" applyBorder="1"/>
    <xf numFmtId="0" fontId="2" fillId="0" borderId="0" xfId="0" applyFont="1" applyBorder="1"/>
    <xf numFmtId="2" fontId="0" fillId="0" borderId="0" xfId="0" applyNumberFormat="1" applyBorder="1"/>
    <xf numFmtId="2" fontId="0" fillId="5" borderId="1" xfId="0" applyNumberFormat="1" applyFill="1" applyBorder="1"/>
    <xf numFmtId="2" fontId="0" fillId="0" borderId="21" xfId="0" applyNumberFormat="1" applyBorder="1"/>
    <xf numFmtId="2" fontId="2" fillId="0" borderId="20" xfId="0" applyNumberFormat="1" applyFont="1" applyBorder="1"/>
    <xf numFmtId="0" fontId="3" fillId="3" borderId="30" xfId="2" applyBorder="1"/>
    <xf numFmtId="0" fontId="3" fillId="3" borderId="32" xfId="2" applyBorder="1"/>
    <xf numFmtId="2" fontId="3" fillId="3" borderId="32" xfId="2" applyNumberFormat="1" applyBorder="1"/>
    <xf numFmtId="2" fontId="4" fillId="4" borderId="33" xfId="3" applyNumberFormat="1" applyBorder="1"/>
    <xf numFmtId="2" fontId="3" fillId="5" borderId="34" xfId="2" applyNumberFormat="1" applyFill="1" applyBorder="1"/>
    <xf numFmtId="2" fontId="4" fillId="4" borderId="32" xfId="3" applyNumberFormat="1" applyBorder="1"/>
    <xf numFmtId="2" fontId="4" fillId="5" borderId="32" xfId="3" applyNumberFormat="1" applyFill="1" applyBorder="1"/>
    <xf numFmtId="0" fontId="0" fillId="0" borderId="26" xfId="0" applyBorder="1"/>
    <xf numFmtId="2" fontId="0" fillId="0" borderId="0" xfId="0" applyNumberFormat="1"/>
    <xf numFmtId="0" fontId="0" fillId="0" borderId="35" xfId="0" applyBorder="1"/>
    <xf numFmtId="2" fontId="0" fillId="0" borderId="36" xfId="0" applyNumberFormat="1" applyBorder="1"/>
    <xf numFmtId="166" fontId="0" fillId="0" borderId="0" xfId="0" applyNumberFormat="1"/>
    <xf numFmtId="0" fontId="2" fillId="0" borderId="16" xfId="0" applyFont="1" applyBorder="1"/>
    <xf numFmtId="2" fontId="2" fillId="0" borderId="0" xfId="0" applyNumberFormat="1" applyFont="1" applyBorder="1"/>
    <xf numFmtId="2" fontId="2" fillId="0" borderId="17" xfId="0" applyNumberFormat="1" applyFont="1" applyBorder="1"/>
    <xf numFmtId="2" fontId="0" fillId="0" borderId="0" xfId="0" applyNumberFormat="1" applyBorder="1" applyAlignment="1">
      <alignment horizontal="right" vertical="center"/>
    </xf>
    <xf numFmtId="2" fontId="0" fillId="0" borderId="21" xfId="0" applyNumberFormat="1" applyBorder="1" applyAlignment="1">
      <alignment horizontal="right" vertical="center"/>
    </xf>
    <xf numFmtId="167" fontId="0" fillId="0" borderId="0" xfId="0" applyNumberFormat="1"/>
    <xf numFmtId="164" fontId="0" fillId="5" borderId="1" xfId="0" applyNumberFormat="1" applyFill="1" applyBorder="1"/>
    <xf numFmtId="0" fontId="0" fillId="5" borderId="0" xfId="0" applyFill="1"/>
    <xf numFmtId="164" fontId="0" fillId="0" borderId="0" xfId="0" applyNumberFormat="1" applyFill="1" applyBorder="1" applyAlignment="1">
      <alignment horizontal="right" vertical="center"/>
    </xf>
    <xf numFmtId="167" fontId="0" fillId="0" borderId="0" xfId="0" applyNumberFormat="1" applyBorder="1"/>
    <xf numFmtId="0" fontId="0" fillId="0" borderId="0" xfId="0"/>
    <xf numFmtId="164" fontId="0" fillId="0" borderId="2" xfId="0" applyNumberFormat="1" applyBorder="1" applyAlignment="1">
      <alignment horizontal="right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0" xfId="0" applyBorder="1"/>
    <xf numFmtId="164" fontId="0" fillId="0" borderId="3" xfId="0" applyNumberFormat="1" applyBorder="1" applyAlignment="1">
      <alignment horizontal="right" vertical="center"/>
    </xf>
    <xf numFmtId="164" fontId="0" fillId="0" borderId="4" xfId="0" applyNumberFormat="1" applyBorder="1" applyAlignment="1">
      <alignment horizontal="right" vertical="center"/>
    </xf>
    <xf numFmtId="164" fontId="0" fillId="0" borderId="5" xfId="0" applyNumberFormat="1" applyBorder="1" applyAlignment="1">
      <alignment horizontal="right" vertical="center"/>
    </xf>
    <xf numFmtId="164" fontId="0" fillId="0" borderId="7" xfId="0" applyNumberFormat="1" applyBorder="1" applyAlignment="1">
      <alignment horizontal="right" vertical="center"/>
    </xf>
    <xf numFmtId="164" fontId="1" fillId="2" borderId="4" xfId="1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2" fontId="0" fillId="0" borderId="17" xfId="0" applyNumberFormat="1" applyBorder="1"/>
    <xf numFmtId="2" fontId="0" fillId="0" borderId="19" xfId="0" applyNumberFormat="1" applyBorder="1"/>
    <xf numFmtId="0" fontId="0" fillId="0" borderId="16" xfId="0" applyBorder="1"/>
    <xf numFmtId="164" fontId="0" fillId="0" borderId="0" xfId="0" applyNumberFormat="1" applyBorder="1"/>
    <xf numFmtId="0" fontId="0" fillId="0" borderId="18" xfId="0" applyBorder="1"/>
    <xf numFmtId="0" fontId="0" fillId="0" borderId="0" xfId="0"/>
    <xf numFmtId="0" fontId="0" fillId="0" borderId="0" xfId="0"/>
    <xf numFmtId="0" fontId="2" fillId="0" borderId="0" xfId="0" applyFont="1"/>
    <xf numFmtId="0" fontId="5" fillId="0" borderId="0" xfId="0" applyFont="1" applyBorder="1" applyAlignment="1">
      <alignment horizontal="right"/>
    </xf>
    <xf numFmtId="0" fontId="2" fillId="6" borderId="0" xfId="0" applyFont="1" applyFill="1"/>
    <xf numFmtId="0" fontId="0" fillId="6" borderId="0" xfId="0" applyFill="1"/>
    <xf numFmtId="0" fontId="0" fillId="0" borderId="0" xfId="0"/>
    <xf numFmtId="164" fontId="0" fillId="0" borderId="2" xfId="0" applyNumberFormat="1" applyBorder="1" applyAlignment="1">
      <alignment horizontal="right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right" vertical="center"/>
    </xf>
    <xf numFmtId="164" fontId="0" fillId="0" borderId="25" xfId="0" applyNumberFormat="1" applyBorder="1" applyAlignment="1">
      <alignment horizontal="right" vertical="center"/>
    </xf>
    <xf numFmtId="164" fontId="0" fillId="0" borderId="4" xfId="0" applyNumberFormat="1" applyBorder="1" applyAlignment="1">
      <alignment horizontal="right" vertical="center"/>
    </xf>
    <xf numFmtId="164" fontId="0" fillId="0" borderId="0" xfId="0" applyNumberFormat="1"/>
    <xf numFmtId="164" fontId="0" fillId="0" borderId="7" xfId="0" applyNumberFormat="1" applyBorder="1" applyAlignment="1">
      <alignment horizontal="right" vertical="center"/>
    </xf>
    <xf numFmtId="164" fontId="0" fillId="0" borderId="37" xfId="0" applyNumberFormat="1" applyBorder="1" applyAlignment="1">
      <alignment horizontal="right" vertical="center"/>
    </xf>
    <xf numFmtId="164" fontId="1" fillId="2" borderId="4" xfId="1" applyNumberFormat="1" applyBorder="1" applyAlignment="1">
      <alignment horizontal="right" vertical="center"/>
    </xf>
    <xf numFmtId="164" fontId="1" fillId="2" borderId="1" xfId="1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164" fontId="0" fillId="0" borderId="39" xfId="0" applyNumberFormat="1" applyBorder="1" applyAlignment="1">
      <alignment horizontal="right" vertical="center"/>
    </xf>
    <xf numFmtId="0" fontId="0" fillId="0" borderId="0" xfId="0" applyFill="1"/>
    <xf numFmtId="0" fontId="2" fillId="0" borderId="0" xfId="0" applyFont="1" applyFill="1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0" fillId="0" borderId="0" xfId="0"/>
    <xf numFmtId="167" fontId="0" fillId="0" borderId="0" xfId="0" applyNumberFormat="1"/>
    <xf numFmtId="164" fontId="0" fillId="0" borderId="2" xfId="0" applyNumberFormat="1" applyBorder="1" applyAlignment="1">
      <alignment horizontal="right" vertical="center"/>
    </xf>
    <xf numFmtId="0" fontId="0" fillId="0" borderId="1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5" fillId="0" borderId="0" xfId="0" applyFont="1"/>
    <xf numFmtId="0" fontId="2" fillId="0" borderId="1" xfId="0" applyFont="1" applyBorder="1"/>
    <xf numFmtId="0" fontId="0" fillId="0" borderId="0" xfId="0" applyBorder="1"/>
    <xf numFmtId="0" fontId="0" fillId="0" borderId="0" xfId="0" applyFill="1" applyBorder="1"/>
    <xf numFmtId="164" fontId="0" fillId="0" borderId="3" xfId="0" applyNumberFormat="1" applyBorder="1" applyAlignment="1">
      <alignment horizontal="right" vertical="center"/>
    </xf>
    <xf numFmtId="164" fontId="0" fillId="0" borderId="4" xfId="0" applyNumberFormat="1" applyBorder="1" applyAlignment="1">
      <alignment horizontal="right" vertical="center"/>
    </xf>
    <xf numFmtId="164" fontId="0" fillId="0" borderId="5" xfId="0" applyNumberFormat="1" applyBorder="1" applyAlignment="1">
      <alignment horizontal="right" vertical="center"/>
    </xf>
    <xf numFmtId="0" fontId="2" fillId="0" borderId="0" xfId="0" applyFont="1"/>
    <xf numFmtId="2" fontId="0" fillId="0" borderId="0" xfId="0" applyNumberFormat="1"/>
    <xf numFmtId="0" fontId="3" fillId="3" borderId="30" xfId="2" applyBorder="1"/>
    <xf numFmtId="164" fontId="0" fillId="0" borderId="1" xfId="0" applyNumberFormat="1" applyBorder="1"/>
    <xf numFmtId="0" fontId="2" fillId="0" borderId="26" xfId="0" applyFont="1" applyBorder="1" applyAlignment="1">
      <alignment horizontal="center" vertical="center" wrapText="1"/>
    </xf>
    <xf numFmtId="164" fontId="0" fillId="0" borderId="0" xfId="0" applyNumberFormat="1"/>
    <xf numFmtId="164" fontId="0" fillId="0" borderId="7" xfId="0" applyNumberFormat="1" applyBorder="1" applyAlignment="1">
      <alignment horizontal="right" vertical="center"/>
    </xf>
    <xf numFmtId="10" fontId="0" fillId="0" borderId="0" xfId="0" applyNumberFormat="1"/>
    <xf numFmtId="164" fontId="1" fillId="2" borderId="4" xfId="1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2" fontId="3" fillId="3" borderId="24" xfId="2" applyNumberFormat="1"/>
    <xf numFmtId="0" fontId="0" fillId="0" borderId="0" xfId="0" applyFill="1"/>
    <xf numFmtId="0" fontId="2" fillId="0" borderId="0" xfId="0" applyFon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0" borderId="19" xfId="0" applyNumberFormat="1" applyBorder="1"/>
    <xf numFmtId="0" fontId="0" fillId="0" borderId="0" xfId="0" applyAlignment="1">
      <alignment horizontal="center"/>
    </xf>
    <xf numFmtId="0" fontId="0" fillId="0" borderId="20" xfId="0" applyBorder="1"/>
    <xf numFmtId="0" fontId="0" fillId="0" borderId="15" xfId="0" applyBorder="1"/>
    <xf numFmtId="0" fontId="0" fillId="0" borderId="16" xfId="0" applyBorder="1"/>
    <xf numFmtId="164" fontId="0" fillId="0" borderId="0" xfId="0" applyNumberForma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2" fillId="0" borderId="0" xfId="0" applyFont="1" applyBorder="1"/>
    <xf numFmtId="165" fontId="0" fillId="0" borderId="1" xfId="0" applyNumberFormat="1" applyBorder="1"/>
    <xf numFmtId="0" fontId="2" fillId="0" borderId="0" xfId="0" applyFont="1" applyAlignment="1">
      <alignment horizontal="center"/>
    </xf>
    <xf numFmtId="164" fontId="0" fillId="0" borderId="22" xfId="0" applyNumberFormat="1" applyBorder="1" applyAlignment="1">
      <alignment horizontal="right" vertical="center"/>
    </xf>
    <xf numFmtId="164" fontId="1" fillId="2" borderId="5" xfId="1" applyNumberFormat="1" applyBorder="1" applyAlignment="1">
      <alignment horizontal="right" vertical="center"/>
    </xf>
    <xf numFmtId="164" fontId="0" fillId="0" borderId="23" xfId="0" applyNumberFormat="1" applyBorder="1" applyAlignment="1">
      <alignment horizontal="right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164" fontId="0" fillId="0" borderId="41" xfId="0" applyNumberFormat="1" applyFill="1" applyBorder="1" applyAlignment="1">
      <alignment horizontal="center" vertical="center"/>
    </xf>
    <xf numFmtId="164" fontId="0" fillId="0" borderId="38" xfId="0" applyNumberFormat="1" applyFill="1" applyBorder="1" applyAlignment="1">
      <alignment horizontal="center" vertical="center"/>
    </xf>
    <xf numFmtId="164" fontId="0" fillId="0" borderId="42" xfId="0" applyNumberFormat="1" applyFill="1" applyBorder="1" applyAlignment="1">
      <alignment horizontal="center" vertical="center"/>
    </xf>
    <xf numFmtId="164" fontId="0" fillId="0" borderId="27" xfId="0" applyNumberFormat="1" applyFill="1" applyBorder="1" applyAlignment="1">
      <alignment horizontal="center" vertical="center"/>
    </xf>
    <xf numFmtId="164" fontId="0" fillId="0" borderId="28" xfId="0" applyNumberForma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64" fontId="0" fillId="0" borderId="44" xfId="0" applyNumberFormat="1" applyFill="1" applyBorder="1" applyAlignment="1">
      <alignment horizontal="center" vertical="center"/>
    </xf>
    <xf numFmtId="164" fontId="0" fillId="0" borderId="13" xfId="0" applyNumberForma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64" fontId="0" fillId="5" borderId="13" xfId="0" applyNumberFormat="1" applyFill="1" applyBorder="1"/>
    <xf numFmtId="164" fontId="0" fillId="5" borderId="29" xfId="0" applyNumberForma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167" fontId="0" fillId="0" borderId="18" xfId="0" applyNumberFormat="1" applyBorder="1"/>
    <xf numFmtId="0" fontId="0" fillId="0" borderId="14" xfId="0" applyBorder="1" applyAlignment="1">
      <alignment horizontal="center"/>
    </xf>
    <xf numFmtId="164" fontId="2" fillId="0" borderId="20" xfId="0" applyNumberFormat="1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2" fillId="0" borderId="14" xfId="0" applyNumberFormat="1" applyFont="1" applyFill="1" applyBorder="1" applyAlignment="1">
      <alignment horizontal="center"/>
    </xf>
    <xf numFmtId="164" fontId="2" fillId="0" borderId="20" xfId="0" applyNumberFormat="1" applyFont="1" applyFill="1" applyBorder="1" applyAlignment="1">
      <alignment horizontal="center"/>
    </xf>
    <xf numFmtId="164" fontId="2" fillId="0" borderId="15" xfId="0" applyNumberFormat="1" applyFont="1" applyFill="1" applyBorder="1" applyAlignment="1">
      <alignment horizontal="center"/>
    </xf>
    <xf numFmtId="166" fontId="0" fillId="0" borderId="16" xfId="0" applyNumberFormat="1" applyBorder="1"/>
    <xf numFmtId="166" fontId="0" fillId="0" borderId="0" xfId="0" applyNumberFormat="1" applyBorder="1"/>
    <xf numFmtId="10" fontId="0" fillId="0" borderId="17" xfId="0" applyNumberFormat="1" applyBorder="1"/>
    <xf numFmtId="164" fontId="0" fillId="0" borderId="16" xfId="0" applyNumberFormat="1" applyBorder="1"/>
    <xf numFmtId="0" fontId="0" fillId="0" borderId="0" xfId="0" applyFill="1" applyBorder="1" applyAlignment="1">
      <alignment horizontal="center"/>
    </xf>
    <xf numFmtId="164" fontId="0" fillId="0" borderId="0" xfId="0" applyNumberFormat="1" applyFill="1" applyBorder="1"/>
    <xf numFmtId="164" fontId="0" fillId="0" borderId="18" xfId="0" applyNumberFormat="1" applyBorder="1"/>
    <xf numFmtId="164" fontId="0" fillId="5" borderId="13" xfId="0" applyNumberFormat="1" applyFill="1" applyBorder="1" applyAlignment="1">
      <alignment horizontal="center" vertical="center"/>
    </xf>
    <xf numFmtId="2" fontId="0" fillId="0" borderId="1" xfId="0" applyNumberFormat="1" applyBorder="1" applyAlignment="1">
      <alignment horizontal="left"/>
    </xf>
    <xf numFmtId="0" fontId="2" fillId="0" borderId="1" xfId="0" applyFont="1" applyFill="1" applyBorder="1"/>
    <xf numFmtId="164" fontId="0" fillId="0" borderId="0" xfId="0" applyNumberFormat="1" applyFill="1" applyBorder="1" applyAlignment="1">
      <alignment horizontal="center" vertical="center"/>
    </xf>
    <xf numFmtId="0" fontId="2" fillId="0" borderId="43" xfId="0" applyFont="1" applyBorder="1" applyAlignment="1">
      <alignment horizont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37" xfId="0" applyNumberFormat="1" applyFill="1" applyBorder="1" applyAlignment="1">
      <alignment horizontal="center" vertical="center"/>
    </xf>
    <xf numFmtId="164" fontId="0" fillId="0" borderId="22" xfId="0" applyNumberFormat="1" applyFill="1" applyBorder="1" applyAlignment="1">
      <alignment horizontal="center" vertical="center"/>
    </xf>
    <xf numFmtId="164" fontId="0" fillId="0" borderId="40" xfId="0" applyNumberForma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164" fontId="0" fillId="0" borderId="9" xfId="0" applyNumberFormat="1" applyFill="1" applyBorder="1" applyAlignment="1">
      <alignment horizontal="center" vertical="center"/>
    </xf>
    <xf numFmtId="164" fontId="0" fillId="0" borderId="26" xfId="0" applyNumberFormat="1" applyBorder="1"/>
    <xf numFmtId="164" fontId="0" fillId="0" borderId="35" xfId="0" applyNumberFormat="1" applyBorder="1"/>
    <xf numFmtId="10" fontId="0" fillId="0" borderId="36" xfId="0" applyNumberFormat="1" applyBorder="1"/>
    <xf numFmtId="2" fontId="2" fillId="0" borderId="0" xfId="0" applyNumberFormat="1" applyFont="1" applyFill="1"/>
    <xf numFmtId="0" fontId="0" fillId="0" borderId="0" xfId="0"/>
    <xf numFmtId="0" fontId="5" fillId="0" borderId="14" xfId="0" applyFont="1" applyBorder="1"/>
    <xf numFmtId="2" fontId="3" fillId="3" borderId="47" xfId="2" applyNumberFormat="1" applyBorder="1"/>
    <xf numFmtId="2" fontId="9" fillId="7" borderId="48" xfId="4" applyNumberFormat="1" applyBorder="1"/>
    <xf numFmtId="2" fontId="9" fillId="7" borderId="49" xfId="4" applyNumberFormat="1" applyBorder="1"/>
    <xf numFmtId="164" fontId="0" fillId="8" borderId="0" xfId="0" applyNumberFormat="1" applyFill="1"/>
    <xf numFmtId="0" fontId="2" fillId="8" borderId="0" xfId="0" applyFont="1" applyFill="1"/>
    <xf numFmtId="0" fontId="2" fillId="8" borderId="0" xfId="0" applyFont="1" applyFill="1" applyBorder="1"/>
    <xf numFmtId="166" fontId="0" fillId="0" borderId="17" xfId="0" applyNumberFormat="1" applyBorder="1"/>
    <xf numFmtId="1" fontId="0" fillId="0" borderId="0" xfId="0" applyNumberFormat="1"/>
    <xf numFmtId="0" fontId="10" fillId="5" borderId="0" xfId="0" applyFont="1" applyFill="1"/>
    <xf numFmtId="0" fontId="11" fillId="0" borderId="0" xfId="0" applyFont="1"/>
    <xf numFmtId="0" fontId="2" fillId="0" borderId="0" xfId="0" applyFont="1" applyBorder="1" applyAlignment="1">
      <alignment horizontal="center" vertical="center" wrapText="1"/>
    </xf>
    <xf numFmtId="164" fontId="0" fillId="0" borderId="0" xfId="0" applyNumberFormat="1" applyBorder="1" applyAlignment="1">
      <alignment horizontal="right" vertical="center"/>
    </xf>
    <xf numFmtId="164" fontId="1" fillId="0" borderId="0" xfId="1" applyNumberFormat="1" applyFill="1" applyBorder="1" applyAlignment="1">
      <alignment horizontal="right" vertical="center"/>
    </xf>
    <xf numFmtId="164" fontId="0" fillId="0" borderId="2" xfId="0" applyNumberFormat="1" applyBorder="1" applyAlignment="1">
      <alignment horizontal="right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right" vertical="center"/>
    </xf>
    <xf numFmtId="164" fontId="0" fillId="0" borderId="25" xfId="0" applyNumberFormat="1" applyBorder="1" applyAlignment="1">
      <alignment horizontal="right" vertical="center"/>
    </xf>
    <xf numFmtId="164" fontId="0" fillId="0" borderId="4" xfId="0" applyNumberFormat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0" fillId="0" borderId="29" xfId="0" applyBorder="1" applyAlignment="1">
      <alignment horizontal="center"/>
    </xf>
    <xf numFmtId="164" fontId="0" fillId="0" borderId="0" xfId="0" applyNumberFormat="1"/>
    <xf numFmtId="164" fontId="0" fillId="0" borderId="7" xfId="0" applyNumberFormat="1" applyBorder="1" applyAlignment="1">
      <alignment horizontal="right" vertical="center"/>
    </xf>
    <xf numFmtId="164" fontId="0" fillId="0" borderId="37" xfId="0" applyNumberFormat="1" applyBorder="1" applyAlignment="1">
      <alignment horizontal="right" vertical="center"/>
    </xf>
    <xf numFmtId="164" fontId="1" fillId="2" borderId="4" xfId="1" applyNumberFormat="1" applyBorder="1" applyAlignment="1">
      <alignment horizontal="right" vertical="center"/>
    </xf>
    <xf numFmtId="164" fontId="1" fillId="2" borderId="1" xfId="1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164" fontId="0" fillId="0" borderId="39" xfId="0" applyNumberFormat="1" applyBorder="1" applyAlignment="1">
      <alignment horizontal="right" vertical="center"/>
    </xf>
    <xf numFmtId="166" fontId="0" fillId="0" borderId="3" xfId="0" applyNumberFormat="1" applyBorder="1" applyAlignment="1">
      <alignment horizontal="right" vertical="center"/>
    </xf>
    <xf numFmtId="166" fontId="0" fillId="0" borderId="5" xfId="0" applyNumberFormat="1" applyBorder="1" applyAlignment="1">
      <alignment horizontal="right" vertical="center"/>
    </xf>
    <xf numFmtId="0" fontId="2" fillId="0" borderId="0" xfId="0" applyFont="1" applyAlignment="1"/>
    <xf numFmtId="0" fontId="0" fillId="0" borderId="0" xfId="0" applyAlignment="1"/>
    <xf numFmtId="0" fontId="5" fillId="9" borderId="0" xfId="0" applyFont="1" applyFill="1"/>
    <xf numFmtId="0" fontId="0" fillId="0" borderId="0" xfId="0"/>
    <xf numFmtId="164" fontId="0" fillId="0" borderId="2" xfId="0" applyNumberFormat="1" applyBorder="1" applyAlignment="1">
      <alignment horizontal="right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0" xfId="0" applyBorder="1"/>
    <xf numFmtId="164" fontId="0" fillId="0" borderId="1" xfId="0" applyNumberFormat="1" applyBorder="1" applyAlignment="1">
      <alignment horizontal="right" vertical="center"/>
    </xf>
    <xf numFmtId="164" fontId="0" fillId="0" borderId="25" xfId="0" applyNumberFormat="1" applyBorder="1" applyAlignment="1">
      <alignment horizontal="right" vertical="center"/>
    </xf>
    <xf numFmtId="164" fontId="0" fillId="0" borderId="4" xfId="0" applyNumberFormat="1" applyBorder="1" applyAlignment="1">
      <alignment horizontal="right" vertical="center"/>
    </xf>
    <xf numFmtId="164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0" fillId="0" borderId="29" xfId="0" applyBorder="1" applyAlignment="1">
      <alignment horizontal="center"/>
    </xf>
    <xf numFmtId="0" fontId="2" fillId="0" borderId="0" xfId="0" applyFont="1"/>
    <xf numFmtId="164" fontId="0" fillId="0" borderId="0" xfId="0" applyNumberFormat="1"/>
    <xf numFmtId="164" fontId="0" fillId="0" borderId="7" xfId="0" applyNumberFormat="1" applyBorder="1" applyAlignment="1">
      <alignment horizontal="right" vertical="center"/>
    </xf>
    <xf numFmtId="164" fontId="0" fillId="0" borderId="37" xfId="0" applyNumberFormat="1" applyBorder="1" applyAlignment="1">
      <alignment horizontal="right" vertical="center"/>
    </xf>
    <xf numFmtId="164" fontId="1" fillId="2" borderId="4" xfId="1" applyNumberFormat="1" applyBorder="1" applyAlignment="1">
      <alignment horizontal="right" vertical="center"/>
    </xf>
    <xf numFmtId="164" fontId="1" fillId="2" borderId="1" xfId="1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164" fontId="0" fillId="0" borderId="39" xfId="0" applyNumberFormat="1" applyBorder="1" applyAlignment="1">
      <alignment horizontal="right" vertical="center"/>
    </xf>
    <xf numFmtId="164" fontId="0" fillId="0" borderId="0" xfId="0" applyNumberFormat="1" applyAlignment="1">
      <alignment horizontal="center"/>
    </xf>
    <xf numFmtId="166" fontId="0" fillId="0" borderId="3" xfId="0" applyNumberFormat="1" applyBorder="1" applyAlignment="1">
      <alignment horizontal="right" vertical="center"/>
    </xf>
    <xf numFmtId="166" fontId="0" fillId="0" borderId="5" xfId="0" applyNumberFormat="1" applyBorder="1" applyAlignment="1">
      <alignment horizontal="right" vertical="center"/>
    </xf>
    <xf numFmtId="0" fontId="0" fillId="0" borderId="0" xfId="0" applyAlignment="1">
      <alignment horizontal="center"/>
    </xf>
  </cellXfs>
  <cellStyles count="5">
    <cellStyle name="Bad" xfId="1" builtinId="27"/>
    <cellStyle name="Calculation" xfId="3" builtinId="22"/>
    <cellStyle name="Check Cell" xfId="4" builtinId="23"/>
    <cellStyle name="Input" xfId="2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9525</xdr:rowOff>
    </xdr:from>
    <xdr:to>
      <xdr:col>5</xdr:col>
      <xdr:colOff>363995</xdr:colOff>
      <xdr:row>19</xdr:row>
      <xdr:rowOff>113954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534025"/>
          <a:ext cx="4419048" cy="27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36675</xdr:colOff>
      <xdr:row>57</xdr:row>
      <xdr:rowOff>18336</xdr:rowOff>
    </xdr:from>
    <xdr:to>
      <xdr:col>44</xdr:col>
      <xdr:colOff>565360</xdr:colOff>
      <xdr:row>90</xdr:row>
      <xdr:rowOff>130107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693793" y="11100954"/>
          <a:ext cx="7958185" cy="6398271"/>
        </a:xfrm>
        <a:prstGeom prst="rect">
          <a:avLst/>
        </a:prstGeom>
      </xdr:spPr>
    </xdr:pic>
    <xdr:clientData/>
  </xdr:twoCellAnchor>
  <xdr:twoCellAnchor editAs="oneCell">
    <xdr:from>
      <xdr:col>27</xdr:col>
      <xdr:colOff>39730</xdr:colOff>
      <xdr:row>29</xdr:row>
      <xdr:rowOff>73347</xdr:rowOff>
    </xdr:from>
    <xdr:to>
      <xdr:col>31</xdr:col>
      <xdr:colOff>414416</xdr:colOff>
      <xdr:row>46</xdr:row>
      <xdr:rowOff>142620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93289" y="5821965"/>
          <a:ext cx="5652657" cy="3307773"/>
        </a:xfrm>
        <a:prstGeom prst="rect">
          <a:avLst/>
        </a:prstGeom>
      </xdr:spPr>
    </xdr:pic>
    <xdr:clientData/>
  </xdr:twoCellAnchor>
  <xdr:twoCellAnchor editAs="oneCell">
    <xdr:from>
      <xdr:col>34</xdr:col>
      <xdr:colOff>29544</xdr:colOff>
      <xdr:row>30</xdr:row>
      <xdr:rowOff>17318</xdr:rowOff>
    </xdr:from>
    <xdr:to>
      <xdr:col>45</xdr:col>
      <xdr:colOff>14685</xdr:colOff>
      <xdr:row>56</xdr:row>
      <xdr:rowOff>56029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686662" y="5956436"/>
          <a:ext cx="8019759" cy="4991711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</xdr:row>
      <xdr:rowOff>0</xdr:rowOff>
    </xdr:from>
    <xdr:to>
      <xdr:col>29</xdr:col>
      <xdr:colOff>665077</xdr:colOff>
      <xdr:row>19</xdr:row>
      <xdr:rowOff>113953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353559" y="952500"/>
          <a:ext cx="4419048" cy="2780953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5</xdr:row>
      <xdr:rowOff>0</xdr:rowOff>
    </xdr:from>
    <xdr:to>
      <xdr:col>39</xdr:col>
      <xdr:colOff>15136</xdr:colOff>
      <xdr:row>19</xdr:row>
      <xdr:rowOff>113953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657118" y="952500"/>
          <a:ext cx="4419048" cy="2780953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4</xdr:row>
      <xdr:rowOff>180975</xdr:rowOff>
    </xdr:from>
    <xdr:to>
      <xdr:col>9</xdr:col>
      <xdr:colOff>713824</xdr:colOff>
      <xdr:row>19</xdr:row>
      <xdr:rowOff>113951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34075" y="942975"/>
          <a:ext cx="4409524" cy="2790476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</xdr:colOff>
      <xdr:row>5</xdr:row>
      <xdr:rowOff>0</xdr:rowOff>
    </xdr:from>
    <xdr:to>
      <xdr:col>18</xdr:col>
      <xdr:colOff>218524</xdr:colOff>
      <xdr:row>19</xdr:row>
      <xdr:rowOff>123476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06475" y="952500"/>
          <a:ext cx="4409524" cy="2790476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5</xdr:row>
      <xdr:rowOff>19050</xdr:rowOff>
    </xdr:from>
    <xdr:to>
      <xdr:col>52</xdr:col>
      <xdr:colOff>208999</xdr:colOff>
      <xdr:row>19</xdr:row>
      <xdr:rowOff>123479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434625" y="971550"/>
          <a:ext cx="4409524" cy="277142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23</xdr:col>
      <xdr:colOff>694773</xdr:colOff>
      <xdr:row>19</xdr:row>
      <xdr:rowOff>104429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726275" y="952500"/>
          <a:ext cx="4419048" cy="2771429"/>
        </a:xfrm>
        <a:prstGeom prst="rect">
          <a:avLst/>
        </a:prstGeom>
      </xdr:spPr>
    </xdr:pic>
    <xdr:clientData/>
  </xdr:twoCellAnchor>
  <xdr:oneCellAnchor>
    <xdr:from>
      <xdr:col>55</xdr:col>
      <xdr:colOff>0</xdr:colOff>
      <xdr:row>5</xdr:row>
      <xdr:rowOff>19050</xdr:rowOff>
    </xdr:from>
    <xdr:ext cx="4409524" cy="2771429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329725" y="971550"/>
          <a:ext cx="4409524" cy="2771429"/>
        </a:xfrm>
        <a:prstGeom prst="rect">
          <a:avLst/>
        </a:prstGeom>
      </xdr:spPr>
    </xdr:pic>
    <xdr:clientData/>
  </xdr:oneCellAnchor>
  <xdr:oneCellAnchor>
    <xdr:from>
      <xdr:col>67</xdr:col>
      <xdr:colOff>36675</xdr:colOff>
      <xdr:row>67</xdr:row>
      <xdr:rowOff>18336</xdr:rowOff>
    </xdr:from>
    <xdr:ext cx="7996285" cy="6398271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803050" y="11286411"/>
          <a:ext cx="7996285" cy="6398271"/>
        </a:xfrm>
        <a:prstGeom prst="rect">
          <a:avLst/>
        </a:prstGeom>
      </xdr:spPr>
    </xdr:pic>
    <xdr:clientData/>
  </xdr:oneCellAnchor>
  <xdr:oneCellAnchor>
    <xdr:from>
      <xdr:col>61</xdr:col>
      <xdr:colOff>77830</xdr:colOff>
      <xdr:row>40</xdr:row>
      <xdr:rowOff>35247</xdr:rowOff>
    </xdr:from>
    <xdr:ext cx="5661061" cy="3307773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647180" y="8064822"/>
          <a:ext cx="5661061" cy="3307773"/>
        </a:xfrm>
        <a:prstGeom prst="rect">
          <a:avLst/>
        </a:prstGeom>
      </xdr:spPr>
    </xdr:pic>
    <xdr:clientData/>
  </xdr:oneCellAnchor>
  <xdr:oneCellAnchor>
    <xdr:from>
      <xdr:col>67</xdr:col>
      <xdr:colOff>29544</xdr:colOff>
      <xdr:row>40</xdr:row>
      <xdr:rowOff>17318</xdr:rowOff>
    </xdr:from>
    <xdr:ext cx="8062341" cy="4991711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795919" y="6141893"/>
          <a:ext cx="8062341" cy="4991711"/>
        </a:xfrm>
        <a:prstGeom prst="rect">
          <a:avLst/>
        </a:prstGeom>
      </xdr:spPr>
    </xdr:pic>
    <xdr:clientData/>
  </xdr:oneCellAnchor>
  <xdr:oneCellAnchor>
    <xdr:from>
      <xdr:col>61</xdr:col>
      <xdr:colOff>0</xdr:colOff>
      <xdr:row>5</xdr:row>
      <xdr:rowOff>0</xdr:rowOff>
    </xdr:from>
    <xdr:ext cx="4417927" cy="2780953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651200" y="952500"/>
          <a:ext cx="4417927" cy="2780953"/>
        </a:xfrm>
        <a:prstGeom prst="rect">
          <a:avLst/>
        </a:prstGeom>
      </xdr:spPr>
    </xdr:pic>
    <xdr:clientData/>
  </xdr:oneCellAnchor>
  <xdr:oneCellAnchor>
    <xdr:from>
      <xdr:col>67</xdr:col>
      <xdr:colOff>0</xdr:colOff>
      <xdr:row>5</xdr:row>
      <xdr:rowOff>0</xdr:rowOff>
    </xdr:from>
    <xdr:ext cx="4409524" cy="2771429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84525" y="952500"/>
          <a:ext cx="4409524" cy="277142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40"/>
  <sheetViews>
    <sheetView tabSelected="1" topLeftCell="AT1" zoomScale="55" zoomScaleNormal="55" workbookViewId="0">
      <selection activeCell="BG53" sqref="BG53"/>
    </sheetView>
  </sheetViews>
  <sheetFormatPr defaultRowHeight="15" x14ac:dyDescent="0.25"/>
  <cols>
    <col min="1" max="1" width="19.7109375" style="20" bestFit="1" customWidth="1"/>
    <col min="2" max="2" width="33.7109375" style="20" bestFit="1" customWidth="1"/>
    <col min="3" max="6" width="9.140625" style="20"/>
    <col min="8" max="8" width="40.42578125" bestFit="1" customWidth="1"/>
    <col min="9" max="9" width="15.42578125" bestFit="1" customWidth="1"/>
    <col min="10" max="10" width="13.85546875" bestFit="1" customWidth="1"/>
    <col min="12" max="12" width="9.140625" style="20"/>
    <col min="13" max="13" width="9.140625" style="115"/>
    <col min="14" max="14" width="25.85546875" style="20" bestFit="1" customWidth="1"/>
    <col min="15" max="15" width="10.5703125" customWidth="1"/>
    <col min="16" max="16" width="33.7109375" style="20" bestFit="1" customWidth="1"/>
    <col min="17" max="17" width="15.42578125" style="20" bestFit="1" customWidth="1"/>
    <col min="18" max="18" width="13.85546875" style="20" bestFit="1" customWidth="1"/>
    <col min="19" max="19" width="9.140625" style="20"/>
    <col min="20" max="20" width="9.140625" style="111"/>
    <col min="21" max="21" width="9.140625" style="20"/>
    <col min="22" max="22" width="40.42578125" style="20" bestFit="1" customWidth="1"/>
    <col min="23" max="23" width="15.42578125" style="20" bestFit="1" customWidth="1"/>
    <col min="24" max="24" width="13.85546875" style="20" bestFit="1" customWidth="1"/>
    <col min="25" max="26" width="13.85546875" style="239" customWidth="1"/>
    <col min="27" max="27" width="9.140625" style="20"/>
    <col min="28" max="28" width="40.85546875" style="20" bestFit="1" customWidth="1"/>
    <col min="29" max="29" width="15.42578125" style="20" bestFit="1" customWidth="1"/>
    <col min="30" max="30" width="13.85546875" style="20" bestFit="1" customWidth="1"/>
    <col min="31" max="32" width="9.140625" style="20"/>
    <col min="33" max="33" width="9.140625" style="111"/>
    <col min="34" max="34" width="9.140625" style="20"/>
    <col min="35" max="35" width="29.7109375" customWidth="1"/>
    <col min="48" max="48" width="9.140625" style="115"/>
    <col min="49" max="49" width="24.85546875" bestFit="1" customWidth="1"/>
    <col min="50" max="50" width="51.140625" style="239" bestFit="1" customWidth="1"/>
    <col min="51" max="51" width="5.5703125" style="239" bestFit="1" customWidth="1"/>
    <col min="52" max="52" width="6.28515625" style="239" bestFit="1" customWidth="1"/>
    <col min="53" max="53" width="10.7109375" style="239" bestFit="1" customWidth="1"/>
    <col min="54" max="54" width="9.140625" style="20"/>
    <col min="55" max="55" width="9.140625" style="111"/>
    <col min="56" max="56" width="51.140625" bestFit="1" customWidth="1"/>
    <col min="57" max="57" width="5.5703125" bestFit="1" customWidth="1"/>
    <col min="58" max="58" width="6.28515625" bestFit="1" customWidth="1"/>
    <col min="59" max="59" width="10.7109375" bestFit="1" customWidth="1"/>
    <col min="62" max="62" width="70.85546875" style="279" bestFit="1" customWidth="1"/>
    <col min="63" max="63" width="15.42578125" style="279" bestFit="1" customWidth="1"/>
    <col min="64" max="64" width="13.85546875" style="279" bestFit="1" customWidth="1"/>
    <col min="65" max="65" width="10.7109375" style="279" bestFit="1" customWidth="1"/>
    <col min="66" max="67" width="9.140625" style="279"/>
    <col min="68" max="68" width="54.5703125" style="279" bestFit="1" customWidth="1"/>
    <col min="69" max="70" width="9.140625" style="279"/>
    <col min="71" max="71" width="10.7109375" style="279" bestFit="1" customWidth="1"/>
    <col min="72" max="78" width="9.140625" style="279"/>
  </cols>
  <sheetData>
    <row r="1" spans="1:78" x14ac:dyDescent="0.25">
      <c r="A1" s="278" t="s">
        <v>290</v>
      </c>
      <c r="N1" s="278" t="s">
        <v>291</v>
      </c>
      <c r="AW1" s="278" t="s">
        <v>292</v>
      </c>
    </row>
    <row r="2" spans="1:78" s="1" customFormat="1" x14ac:dyDescent="0.25">
      <c r="A2" s="32"/>
      <c r="B2" s="1" t="s">
        <v>73</v>
      </c>
      <c r="H2" s="1" t="s">
        <v>74</v>
      </c>
      <c r="L2" s="32"/>
      <c r="M2" s="114"/>
      <c r="N2" s="32"/>
      <c r="P2" s="49" t="s">
        <v>105</v>
      </c>
      <c r="Q2" s="32"/>
      <c r="R2" s="32"/>
      <c r="S2" s="32"/>
      <c r="T2" s="112"/>
      <c r="U2" s="32"/>
      <c r="V2" s="49" t="s">
        <v>107</v>
      </c>
      <c r="W2" s="32"/>
      <c r="X2" s="32"/>
      <c r="Y2" s="155"/>
      <c r="Z2" s="155"/>
      <c r="AA2" s="32"/>
      <c r="AB2" s="49" t="s">
        <v>106</v>
      </c>
      <c r="AC2" s="32"/>
      <c r="AD2" s="32"/>
      <c r="AE2" s="32"/>
      <c r="AF2" s="32"/>
      <c r="AG2" s="112"/>
      <c r="AH2" s="32"/>
      <c r="AI2" s="49" t="s">
        <v>110</v>
      </c>
      <c r="AJ2" s="32"/>
      <c r="AK2" s="32"/>
      <c r="AV2" s="114"/>
      <c r="AX2" s="49" t="s">
        <v>300</v>
      </c>
      <c r="AY2" s="155"/>
      <c r="AZ2" s="155"/>
      <c r="BA2" s="155"/>
      <c r="BB2" s="32"/>
      <c r="BC2" s="112"/>
      <c r="BD2" s="49" t="s">
        <v>299</v>
      </c>
      <c r="BE2" s="295"/>
      <c r="BF2" s="295"/>
      <c r="BG2" s="295"/>
      <c r="BJ2" s="49" t="s">
        <v>298</v>
      </c>
      <c r="BK2" s="295"/>
      <c r="BL2" s="295"/>
      <c r="BM2" s="295"/>
      <c r="BN2" s="295"/>
      <c r="BO2" s="295"/>
      <c r="BP2" s="49" t="s">
        <v>297</v>
      </c>
      <c r="BQ2" s="295"/>
      <c r="BR2" s="295"/>
      <c r="BS2" s="295"/>
      <c r="BT2" s="295"/>
      <c r="BU2" s="295"/>
      <c r="BV2" s="295"/>
      <c r="BW2" s="295"/>
      <c r="BX2" s="295"/>
      <c r="BY2" s="295"/>
      <c r="BZ2" s="295"/>
    </row>
    <row r="3" spans="1:78" s="1" customFormat="1" x14ac:dyDescent="0.25">
      <c r="A3" s="32"/>
      <c r="B3" s="1" t="s">
        <v>0</v>
      </c>
      <c r="H3" s="1" t="s">
        <v>76</v>
      </c>
      <c r="L3" s="32"/>
      <c r="M3" s="114"/>
      <c r="N3" s="32"/>
      <c r="P3" s="32" t="s">
        <v>0</v>
      </c>
      <c r="Q3" s="32"/>
      <c r="R3" s="32"/>
      <c r="S3" s="32"/>
      <c r="T3" s="112"/>
      <c r="U3" s="32"/>
      <c r="V3" s="32" t="s">
        <v>76</v>
      </c>
      <c r="W3" s="32"/>
      <c r="X3" s="32"/>
      <c r="Y3" s="155"/>
      <c r="Z3" s="155"/>
      <c r="AA3" s="32"/>
      <c r="AB3" s="32" t="s">
        <v>75</v>
      </c>
      <c r="AC3" s="32"/>
      <c r="AD3" s="32"/>
      <c r="AE3" s="32"/>
      <c r="AF3" s="32"/>
      <c r="AG3" s="112"/>
      <c r="AH3" s="32"/>
      <c r="AI3" s="32" t="s">
        <v>72</v>
      </c>
      <c r="AJ3" s="32"/>
      <c r="AK3" s="32"/>
      <c r="AV3" s="114"/>
      <c r="AX3" s="155" t="s">
        <v>76</v>
      </c>
      <c r="AY3" s="155"/>
      <c r="AZ3" s="155"/>
      <c r="BA3" s="155"/>
      <c r="BB3" s="32"/>
      <c r="BC3" s="112"/>
      <c r="BD3" s="295" t="s">
        <v>295</v>
      </c>
      <c r="BE3" s="295"/>
      <c r="BF3" s="295"/>
      <c r="BG3" s="295"/>
      <c r="BJ3" s="295" t="s">
        <v>296</v>
      </c>
      <c r="BK3" s="295"/>
      <c r="BL3" s="295"/>
      <c r="BM3" s="295"/>
      <c r="BN3" s="295"/>
      <c r="BO3" s="295"/>
      <c r="BP3" s="295" t="s">
        <v>301</v>
      </c>
      <c r="BQ3" s="295"/>
      <c r="BR3" s="295"/>
      <c r="BS3" s="295"/>
      <c r="BT3" s="295"/>
      <c r="BU3" s="295"/>
      <c r="BV3" s="295"/>
      <c r="BW3" s="295"/>
      <c r="BX3" s="295"/>
      <c r="BY3" s="295"/>
      <c r="BZ3" s="295"/>
    </row>
    <row r="4" spans="1:78" x14ac:dyDescent="0.25">
      <c r="B4"/>
      <c r="C4"/>
      <c r="D4"/>
      <c r="E4"/>
      <c r="F4"/>
      <c r="AI4" s="20"/>
      <c r="AJ4" s="20"/>
      <c r="AK4" s="20"/>
      <c r="BD4" s="279"/>
      <c r="BE4" s="279"/>
      <c r="BF4" s="279"/>
      <c r="BG4" s="279"/>
      <c r="BI4" s="20"/>
    </row>
    <row r="5" spans="1:78" x14ac:dyDescent="0.25">
      <c r="B5"/>
      <c r="C5"/>
      <c r="D5"/>
      <c r="E5"/>
      <c r="F5"/>
      <c r="BD5" s="279"/>
      <c r="BE5" s="279"/>
      <c r="BF5" s="279"/>
      <c r="BG5" s="279"/>
    </row>
    <row r="6" spans="1:78" x14ac:dyDescent="0.25">
      <c r="B6"/>
      <c r="C6"/>
      <c r="D6"/>
      <c r="E6"/>
      <c r="F6"/>
      <c r="BD6" s="279"/>
      <c r="BE6" s="279"/>
      <c r="BF6" s="279"/>
      <c r="BG6" s="279"/>
    </row>
    <row r="7" spans="1:78" x14ac:dyDescent="0.25">
      <c r="B7"/>
      <c r="C7"/>
      <c r="D7"/>
      <c r="E7"/>
      <c r="F7"/>
      <c r="BD7" s="279"/>
      <c r="BE7" s="279"/>
      <c r="BF7" s="279"/>
      <c r="BG7" s="279"/>
    </row>
    <row r="8" spans="1:78" x14ac:dyDescent="0.25">
      <c r="B8"/>
      <c r="C8"/>
      <c r="D8"/>
      <c r="E8"/>
      <c r="F8"/>
      <c r="BD8" s="279"/>
      <c r="BE8" s="279"/>
      <c r="BF8" s="279"/>
      <c r="BG8" s="279"/>
    </row>
    <row r="9" spans="1:78" x14ac:dyDescent="0.25">
      <c r="B9"/>
      <c r="C9"/>
      <c r="D9"/>
      <c r="E9"/>
      <c r="F9"/>
      <c r="BD9" s="279"/>
      <c r="BE9" s="279"/>
      <c r="BF9" s="279"/>
      <c r="BG9" s="279"/>
    </row>
    <row r="10" spans="1:78" x14ac:dyDescent="0.25">
      <c r="B10"/>
      <c r="C10"/>
      <c r="D10"/>
      <c r="E10"/>
      <c r="F10"/>
      <c r="BD10" s="279"/>
      <c r="BE10" s="279"/>
      <c r="BF10" s="279"/>
      <c r="BG10" s="279"/>
    </row>
    <row r="11" spans="1:78" x14ac:dyDescent="0.25">
      <c r="B11"/>
      <c r="C11"/>
      <c r="D11"/>
      <c r="E11"/>
      <c r="F11"/>
      <c r="BD11" s="279"/>
      <c r="BE11" s="279"/>
      <c r="BF11" s="279"/>
      <c r="BG11" s="279"/>
    </row>
    <row r="12" spans="1:78" x14ac:dyDescent="0.25">
      <c r="B12"/>
      <c r="C12"/>
      <c r="D12"/>
      <c r="E12"/>
      <c r="F12"/>
      <c r="BD12" s="279"/>
      <c r="BE12" s="279"/>
      <c r="BF12" s="279"/>
      <c r="BG12" s="279"/>
    </row>
    <row r="13" spans="1:78" x14ac:dyDescent="0.25">
      <c r="B13"/>
      <c r="C13"/>
      <c r="D13"/>
      <c r="E13"/>
      <c r="F13"/>
      <c r="BD13" s="279"/>
      <c r="BE13" s="279"/>
      <c r="BF13" s="279"/>
      <c r="BG13" s="279"/>
    </row>
    <row r="14" spans="1:78" x14ac:dyDescent="0.25">
      <c r="B14"/>
      <c r="C14"/>
      <c r="D14"/>
      <c r="E14"/>
      <c r="F14"/>
      <c r="BD14" s="279"/>
      <c r="BE14" s="279"/>
      <c r="BF14" s="279"/>
      <c r="BG14" s="279"/>
    </row>
    <row r="15" spans="1:78" x14ac:dyDescent="0.25">
      <c r="B15"/>
      <c r="C15"/>
      <c r="D15"/>
      <c r="E15"/>
      <c r="F15"/>
      <c r="BD15" s="279"/>
      <c r="BE15" s="279"/>
      <c r="BF15" s="279"/>
      <c r="BG15" s="279"/>
    </row>
    <row r="16" spans="1:78" x14ac:dyDescent="0.25">
      <c r="B16"/>
      <c r="C16"/>
      <c r="D16"/>
      <c r="E16"/>
      <c r="F16"/>
      <c r="BD16" s="279"/>
      <c r="BE16" s="279"/>
      <c r="BF16" s="279"/>
      <c r="BG16" s="279"/>
    </row>
    <row r="17" spans="2:79" x14ac:dyDescent="0.25">
      <c r="B17"/>
      <c r="C17"/>
      <c r="D17"/>
      <c r="E17"/>
      <c r="F17"/>
      <c r="BD17" s="279"/>
      <c r="BE17" s="279"/>
      <c r="BF17" s="279"/>
      <c r="BG17" s="279"/>
    </row>
    <row r="18" spans="2:79" x14ac:dyDescent="0.25">
      <c r="B18"/>
      <c r="C18"/>
      <c r="D18"/>
      <c r="E18"/>
      <c r="F18"/>
      <c r="BD18" s="279"/>
      <c r="BE18" s="279"/>
      <c r="BF18" s="279"/>
      <c r="BG18" s="279"/>
    </row>
    <row r="19" spans="2:79" x14ac:dyDescent="0.25">
      <c r="B19"/>
      <c r="C19"/>
      <c r="D19"/>
      <c r="E19"/>
      <c r="F19"/>
      <c r="BD19" s="279"/>
      <c r="BE19" s="279"/>
      <c r="BF19" s="279"/>
      <c r="BG19" s="279"/>
    </row>
    <row r="20" spans="2:79" ht="15.75" thickBot="1" x14ac:dyDescent="0.3">
      <c r="B20"/>
      <c r="C20"/>
      <c r="D20"/>
      <c r="E20"/>
      <c r="F20"/>
      <c r="BD20" s="279"/>
      <c r="BE20" s="279"/>
      <c r="BF20" s="279"/>
      <c r="BG20" s="279"/>
    </row>
    <row r="21" spans="2:79" ht="45.75" thickBot="1" x14ac:dyDescent="0.3">
      <c r="B21" s="9" t="s">
        <v>1</v>
      </c>
      <c r="C21" s="10" t="s">
        <v>2</v>
      </c>
      <c r="D21" s="11" t="s">
        <v>3</v>
      </c>
      <c r="E21"/>
      <c r="F21"/>
      <c r="H21" s="25" t="s">
        <v>1</v>
      </c>
      <c r="I21" s="26" t="s">
        <v>2</v>
      </c>
      <c r="J21" s="27" t="s">
        <v>3</v>
      </c>
      <c r="P21" s="121" t="s">
        <v>1</v>
      </c>
      <c r="Q21" s="122" t="s">
        <v>2</v>
      </c>
      <c r="R21" s="123" t="s">
        <v>3</v>
      </c>
      <c r="V21" s="95" t="s">
        <v>1</v>
      </c>
      <c r="W21" s="96" t="s">
        <v>2</v>
      </c>
      <c r="X21" s="97" t="s">
        <v>3</v>
      </c>
      <c r="Y21" s="251"/>
      <c r="Z21" s="251"/>
      <c r="AB21" s="145" t="s">
        <v>1</v>
      </c>
      <c r="AC21" s="146" t="s">
        <v>2</v>
      </c>
      <c r="AD21" s="147" t="s">
        <v>3</v>
      </c>
      <c r="AI21" s="145" t="s">
        <v>1</v>
      </c>
      <c r="AJ21" s="146" t="s">
        <v>2</v>
      </c>
      <c r="AK21" s="147" t="s">
        <v>3</v>
      </c>
      <c r="AX21" s="258" t="s">
        <v>1</v>
      </c>
      <c r="AY21" s="259" t="s">
        <v>2</v>
      </c>
      <c r="AZ21" s="260" t="s">
        <v>3</v>
      </c>
      <c r="BA21" s="261" t="s">
        <v>285</v>
      </c>
      <c r="BD21" s="284" t="s">
        <v>1</v>
      </c>
      <c r="BE21" s="285" t="s">
        <v>2</v>
      </c>
      <c r="BF21" s="286" t="s">
        <v>3</v>
      </c>
      <c r="BG21" s="287" t="s">
        <v>285</v>
      </c>
      <c r="BJ21" s="284" t="s">
        <v>1</v>
      </c>
      <c r="BK21" s="285" t="s">
        <v>2</v>
      </c>
      <c r="BL21" s="286" t="s">
        <v>3</v>
      </c>
      <c r="BM21" s="287" t="s">
        <v>285</v>
      </c>
      <c r="BP21" s="284" t="s">
        <v>1</v>
      </c>
      <c r="BQ21" s="285" t="s">
        <v>2</v>
      </c>
      <c r="BR21" s="286" t="s">
        <v>3</v>
      </c>
      <c r="BS21" s="287" t="s">
        <v>285</v>
      </c>
    </row>
    <row r="22" spans="2:79" x14ac:dyDescent="0.25">
      <c r="B22" s="6" t="s">
        <v>4</v>
      </c>
      <c r="C22" s="5">
        <v>0.27172000000000002</v>
      </c>
      <c r="D22" s="12">
        <v>0</v>
      </c>
      <c r="E22"/>
      <c r="F22"/>
      <c r="H22" s="22" t="s">
        <v>4</v>
      </c>
      <c r="I22" s="21">
        <v>0.27172000000000002</v>
      </c>
      <c r="J22" s="29">
        <v>1.176E-2</v>
      </c>
      <c r="P22" s="118" t="s">
        <v>4</v>
      </c>
      <c r="Q22" s="117">
        <v>0.27172000000000002</v>
      </c>
      <c r="R22" s="125">
        <v>1.176E-2</v>
      </c>
      <c r="V22" s="92" t="s">
        <v>4</v>
      </c>
      <c r="W22" s="91">
        <v>0.27172000000000002</v>
      </c>
      <c r="X22" s="99">
        <v>1.176E-2</v>
      </c>
      <c r="Y22" s="252"/>
      <c r="Z22" s="252"/>
      <c r="AB22" s="142" t="s">
        <v>4</v>
      </c>
      <c r="AC22" s="140">
        <v>0.27172000000000002</v>
      </c>
      <c r="AD22" s="152">
        <v>1.176E-2</v>
      </c>
      <c r="AI22" s="142" t="s">
        <v>4</v>
      </c>
      <c r="AJ22" s="140">
        <v>0.27172000000000002</v>
      </c>
      <c r="AK22" s="152">
        <v>1.176E-2</v>
      </c>
      <c r="AX22" s="255" t="s">
        <v>4</v>
      </c>
      <c r="AY22" s="254">
        <v>0.30399999999999999</v>
      </c>
      <c r="AZ22" s="263">
        <v>0.01</v>
      </c>
      <c r="BA22" s="274">
        <v>0.44900000000000001</v>
      </c>
      <c r="BD22" s="281" t="s">
        <v>4</v>
      </c>
      <c r="BE22" s="280">
        <v>0.30399999999999999</v>
      </c>
      <c r="BF22" s="290">
        <v>0.01</v>
      </c>
      <c r="BG22" s="304">
        <v>0.44900000000000001</v>
      </c>
      <c r="BJ22" s="281" t="s">
        <v>4</v>
      </c>
      <c r="BK22" s="280">
        <v>0.30399999999999999</v>
      </c>
      <c r="BL22" s="290">
        <v>0.01</v>
      </c>
      <c r="BM22" s="304">
        <v>0.44900000000000001</v>
      </c>
      <c r="BP22" s="281" t="s">
        <v>4</v>
      </c>
      <c r="BQ22" s="280">
        <v>0.30399999999999999</v>
      </c>
      <c r="BR22" s="290">
        <v>0.01</v>
      </c>
      <c r="BS22" s="304">
        <v>0.44900000000000001</v>
      </c>
    </row>
    <row r="23" spans="2:79" x14ac:dyDescent="0.25">
      <c r="B23" s="7" t="s">
        <v>5</v>
      </c>
      <c r="C23" s="18">
        <v>0.27188000000000001</v>
      </c>
      <c r="D23" s="14">
        <v>-3.1519999999999999E-2</v>
      </c>
      <c r="E23"/>
      <c r="F23"/>
      <c r="H23" s="23" t="s">
        <v>5</v>
      </c>
      <c r="I23" s="39">
        <v>0.27188000000000001</v>
      </c>
      <c r="J23" s="31">
        <v>-3.1519999999999999E-2</v>
      </c>
      <c r="P23" s="119" t="s">
        <v>5</v>
      </c>
      <c r="Q23" s="127">
        <v>0.27188000000000001</v>
      </c>
      <c r="R23" s="124">
        <v>-3.1519999999999999E-2</v>
      </c>
      <c r="V23" s="93" t="s">
        <v>5</v>
      </c>
      <c r="W23" s="108">
        <v>0.27188000000000001</v>
      </c>
      <c r="X23" s="101">
        <v>-3.1519999999999999E-2</v>
      </c>
      <c r="Y23" s="252"/>
      <c r="Z23" s="252"/>
      <c r="AB23" s="143" t="s">
        <v>5</v>
      </c>
      <c r="AC23" s="175">
        <v>0.27188000000000001</v>
      </c>
      <c r="AD23" s="154">
        <v>-3.1519999999999999E-2</v>
      </c>
      <c r="AI23" s="143" t="s">
        <v>5</v>
      </c>
      <c r="AJ23" s="175">
        <v>0.27188000000000001</v>
      </c>
      <c r="AK23" s="154">
        <v>-3.1519999999999999E-2</v>
      </c>
      <c r="AX23" s="256" t="s">
        <v>5</v>
      </c>
      <c r="AY23" s="267">
        <v>0.30399999999999999</v>
      </c>
      <c r="AZ23" s="262">
        <v>-4.2999999999999997E-2</v>
      </c>
      <c r="BA23" s="275">
        <v>0.497</v>
      </c>
      <c r="BD23" s="282" t="s">
        <v>5</v>
      </c>
      <c r="BE23" s="296">
        <v>0.30399999999999999</v>
      </c>
      <c r="BF23" s="289">
        <v>-4.2999999999999997E-2</v>
      </c>
      <c r="BG23" s="305">
        <v>0.497</v>
      </c>
      <c r="BJ23" s="282" t="s">
        <v>5</v>
      </c>
      <c r="BK23" s="296">
        <v>0.30399999999999999</v>
      </c>
      <c r="BL23" s="289">
        <v>-4.2999999999999997E-2</v>
      </c>
      <c r="BM23" s="305">
        <v>0.497</v>
      </c>
      <c r="BP23" s="282" t="s">
        <v>5</v>
      </c>
      <c r="BQ23" s="296">
        <v>0.30399999999999999</v>
      </c>
      <c r="BR23" s="289">
        <v>-4.2999999999999997E-2</v>
      </c>
      <c r="BS23" s="305">
        <v>0.497</v>
      </c>
    </row>
    <row r="24" spans="2:79" x14ac:dyDescent="0.25">
      <c r="B24" s="7" t="s">
        <v>6</v>
      </c>
      <c r="C24" s="13">
        <v>0.31172</v>
      </c>
      <c r="D24" s="14">
        <v>0.01</v>
      </c>
      <c r="E24"/>
      <c r="F24"/>
      <c r="H24" s="23" t="s">
        <v>6</v>
      </c>
      <c r="I24" s="30">
        <v>0.57200000000000006</v>
      </c>
      <c r="J24" s="31">
        <v>0.04</v>
      </c>
      <c r="P24" s="119" t="s">
        <v>6</v>
      </c>
      <c r="Q24" s="126">
        <v>0.27738000000000002</v>
      </c>
      <c r="R24" s="124">
        <v>0</v>
      </c>
      <c r="V24" s="93" t="s">
        <v>6</v>
      </c>
      <c r="W24" s="100">
        <v>0.58216000000000001</v>
      </c>
      <c r="X24" s="101">
        <v>4.1550000000000004E-2</v>
      </c>
      <c r="Y24" s="252"/>
      <c r="Z24" s="252"/>
      <c r="AB24" s="143" t="s">
        <v>6</v>
      </c>
      <c r="AC24" s="153">
        <v>0.58216000000000001</v>
      </c>
      <c r="AD24" s="154">
        <v>1.1549999999999998E-2</v>
      </c>
      <c r="AI24" s="143" t="s">
        <v>6</v>
      </c>
      <c r="AJ24" s="153">
        <v>0.58216000000000001</v>
      </c>
      <c r="AK24" s="154">
        <v>1.1549999999999998E-2</v>
      </c>
      <c r="AX24" s="256" t="s">
        <v>6</v>
      </c>
      <c r="AY24" s="264">
        <v>0.58216000000000001</v>
      </c>
      <c r="AZ24" s="262">
        <v>4.1550000000000004E-2</v>
      </c>
      <c r="BA24" s="265" t="s">
        <v>286</v>
      </c>
      <c r="BD24" s="282" t="s">
        <v>6</v>
      </c>
      <c r="BE24" s="291">
        <v>0.58216000000000001</v>
      </c>
      <c r="BF24" s="289">
        <v>4.1550000000000004E-2</v>
      </c>
      <c r="BG24" s="293" t="s">
        <v>286</v>
      </c>
      <c r="BJ24" s="282" t="s">
        <v>6</v>
      </c>
      <c r="BK24" s="291">
        <v>0.58216000000000001</v>
      </c>
      <c r="BL24" s="292">
        <v>1.1549999999999998E-2</v>
      </c>
      <c r="BM24" s="293" t="s">
        <v>286</v>
      </c>
      <c r="BP24" s="282" t="s">
        <v>6</v>
      </c>
      <c r="BQ24" s="291">
        <v>0.58216000000000001</v>
      </c>
      <c r="BR24" s="289">
        <v>4.1550000000000004E-2</v>
      </c>
      <c r="BS24" s="293" t="s">
        <v>286</v>
      </c>
    </row>
    <row r="25" spans="2:79" x14ac:dyDescent="0.25">
      <c r="B25" s="7" t="s">
        <v>7</v>
      </c>
      <c r="C25" s="15">
        <v>0.27188000000000001</v>
      </c>
      <c r="D25" s="2">
        <v>8.5979E-2</v>
      </c>
      <c r="E25"/>
      <c r="F25"/>
      <c r="H25" s="23" t="s">
        <v>7</v>
      </c>
      <c r="I25" s="33">
        <v>0.27188000000000001</v>
      </c>
      <c r="J25" s="2">
        <v>8.5979E-2</v>
      </c>
      <c r="P25" s="119" t="s">
        <v>7</v>
      </c>
      <c r="Q25" s="128">
        <v>0.27188000000000001</v>
      </c>
      <c r="R25" s="129">
        <v>8.5979E-2</v>
      </c>
      <c r="V25" s="93" t="s">
        <v>7</v>
      </c>
      <c r="W25" s="102">
        <v>0.27188000000000001</v>
      </c>
      <c r="X25" s="2">
        <v>8.5979E-2</v>
      </c>
      <c r="Y25" s="252"/>
      <c r="Z25" s="252"/>
      <c r="AB25" s="143" t="s">
        <v>7</v>
      </c>
      <c r="AC25" s="161">
        <v>0.27188000000000001</v>
      </c>
      <c r="AD25" s="182">
        <v>8.5979E-2</v>
      </c>
      <c r="AI25" s="143" t="s">
        <v>7</v>
      </c>
      <c r="AJ25" s="161">
        <v>0.27188000000000001</v>
      </c>
      <c r="AK25" s="182">
        <v>8.5979E-2</v>
      </c>
      <c r="AX25" s="256" t="s">
        <v>7</v>
      </c>
      <c r="AY25" s="268">
        <v>0.30399999999999999</v>
      </c>
      <c r="AZ25" s="269">
        <v>8.5979E-2</v>
      </c>
      <c r="BA25" s="265" t="s">
        <v>286</v>
      </c>
      <c r="BD25" s="282" t="s">
        <v>7</v>
      </c>
      <c r="BE25" s="297">
        <v>0.30399999999999999</v>
      </c>
      <c r="BF25" s="298">
        <v>8.5979E-2</v>
      </c>
      <c r="BG25" s="293" t="s">
        <v>286</v>
      </c>
      <c r="BJ25" s="282" t="s">
        <v>7</v>
      </c>
      <c r="BK25" s="297">
        <v>0.27188000000000001</v>
      </c>
      <c r="BL25" s="182">
        <v>8.5979E-2</v>
      </c>
      <c r="BM25" s="293" t="s">
        <v>286</v>
      </c>
      <c r="BP25" s="282" t="s">
        <v>7</v>
      </c>
      <c r="BQ25" s="297">
        <v>0.30399999999999999</v>
      </c>
      <c r="BR25" s="298">
        <v>8.5979E-2</v>
      </c>
      <c r="BS25" s="293" t="s">
        <v>286</v>
      </c>
    </row>
    <row r="26" spans="2:79" x14ac:dyDescent="0.25">
      <c r="B26" s="7" t="s">
        <v>8</v>
      </c>
      <c r="C26" s="16">
        <v>0</v>
      </c>
      <c r="D26" s="3">
        <v>0</v>
      </c>
      <c r="E26"/>
      <c r="F26"/>
      <c r="H26" s="23" t="s">
        <v>8</v>
      </c>
      <c r="I26" s="34">
        <v>0</v>
      </c>
      <c r="J26" s="3">
        <v>0</v>
      </c>
      <c r="P26" s="119" t="s">
        <v>8</v>
      </c>
      <c r="Q26" s="130">
        <v>0</v>
      </c>
      <c r="R26" s="131">
        <v>0</v>
      </c>
      <c r="V26" s="93" t="s">
        <v>8</v>
      </c>
      <c r="W26" s="103">
        <v>0</v>
      </c>
      <c r="X26" s="3">
        <v>0</v>
      </c>
      <c r="Y26" s="253"/>
      <c r="Z26" s="253"/>
      <c r="AB26" s="143" t="s">
        <v>8</v>
      </c>
      <c r="AC26" s="163">
        <v>0</v>
      </c>
      <c r="AD26" s="183">
        <v>0</v>
      </c>
      <c r="AI26" s="143" t="s">
        <v>8</v>
      </c>
      <c r="AJ26" s="163">
        <v>0</v>
      </c>
      <c r="AK26" s="183">
        <v>0</v>
      </c>
      <c r="AX26" s="256" t="s">
        <v>8</v>
      </c>
      <c r="AY26" s="270">
        <v>0</v>
      </c>
      <c r="AZ26" s="271">
        <v>0</v>
      </c>
      <c r="BA26" s="265" t="s">
        <v>286</v>
      </c>
      <c r="BD26" s="282" t="s">
        <v>8</v>
      </c>
      <c r="BE26" s="299">
        <v>0</v>
      </c>
      <c r="BF26" s="300">
        <v>0</v>
      </c>
      <c r="BG26" s="293" t="s">
        <v>286</v>
      </c>
      <c r="BJ26" s="282" t="s">
        <v>8</v>
      </c>
      <c r="BK26" s="299">
        <v>0</v>
      </c>
      <c r="BL26" s="183">
        <v>0</v>
      </c>
      <c r="BM26" s="293" t="s">
        <v>286</v>
      </c>
      <c r="BP26" s="282" t="s">
        <v>8</v>
      </c>
      <c r="BQ26" s="299">
        <v>0</v>
      </c>
      <c r="BR26" s="300">
        <v>0</v>
      </c>
      <c r="BS26" s="293" t="s">
        <v>286</v>
      </c>
    </row>
    <row r="27" spans="2:79" ht="15.75" thickBot="1" x14ac:dyDescent="0.3">
      <c r="B27" s="8" t="s">
        <v>9</v>
      </c>
      <c r="C27" s="17">
        <v>0.53339999999999999</v>
      </c>
      <c r="D27" s="4">
        <v>0</v>
      </c>
      <c r="E27"/>
      <c r="F27"/>
      <c r="H27" s="24" t="s">
        <v>9</v>
      </c>
      <c r="I27" s="35">
        <v>0.53339999999999999</v>
      </c>
      <c r="J27" s="4">
        <v>5.33E-2</v>
      </c>
      <c r="P27" s="120" t="s">
        <v>79</v>
      </c>
      <c r="Q27" s="132">
        <v>0.53339999999999999</v>
      </c>
      <c r="R27" s="133">
        <v>5.33E-2</v>
      </c>
      <c r="V27" s="94" t="s">
        <v>79</v>
      </c>
      <c r="W27" s="104">
        <v>0.53339999999999999</v>
      </c>
      <c r="X27" s="4">
        <v>5.33E-2</v>
      </c>
      <c r="Y27" s="252"/>
      <c r="Z27" s="252"/>
      <c r="AB27" s="144" t="s">
        <v>79</v>
      </c>
      <c r="AC27" s="164">
        <v>0.53339999999999999</v>
      </c>
      <c r="AD27" s="184">
        <v>5.33E-2</v>
      </c>
      <c r="AI27" s="144" t="s">
        <v>79</v>
      </c>
      <c r="AJ27" s="164">
        <v>0.53339999999999999</v>
      </c>
      <c r="AK27" s="184">
        <v>5.33E-2</v>
      </c>
      <c r="AX27" s="257" t="s">
        <v>287</v>
      </c>
      <c r="AY27" s="272">
        <v>0.53339999999999999</v>
      </c>
      <c r="AZ27" s="273">
        <v>5.33E-2</v>
      </c>
      <c r="BA27" s="266" t="s">
        <v>286</v>
      </c>
      <c r="BD27" s="283" t="s">
        <v>287</v>
      </c>
      <c r="BE27" s="301">
        <v>0.53339999999999999</v>
      </c>
      <c r="BF27" s="302">
        <v>5.33E-2</v>
      </c>
      <c r="BG27" s="294" t="s">
        <v>286</v>
      </c>
      <c r="BJ27" s="283" t="s">
        <v>79</v>
      </c>
      <c r="BK27" s="301">
        <v>0.53339999999999999</v>
      </c>
      <c r="BL27" s="184">
        <v>5.33E-2</v>
      </c>
      <c r="BM27" s="294" t="s">
        <v>286</v>
      </c>
      <c r="BP27" s="283" t="s">
        <v>287</v>
      </c>
      <c r="BQ27" s="301">
        <v>0.53339999999999999</v>
      </c>
      <c r="BR27" s="302">
        <v>5.33E-2</v>
      </c>
      <c r="BS27" s="294" t="s">
        <v>286</v>
      </c>
    </row>
    <row r="28" spans="2:79" x14ac:dyDescent="0.25">
      <c r="AI28" t="s">
        <v>108</v>
      </c>
      <c r="BD28" s="279"/>
      <c r="BE28" s="279"/>
      <c r="BF28" s="279"/>
      <c r="BG28" s="279"/>
      <c r="BJ28" s="288"/>
      <c r="BK28" s="252"/>
      <c r="BL28" s="252"/>
      <c r="BP28" s="288"/>
      <c r="BQ28" s="252"/>
      <c r="BR28" s="252"/>
      <c r="CA28" s="279"/>
    </row>
    <row r="29" spans="2:79" x14ac:dyDescent="0.25">
      <c r="P29" s="110" t="s">
        <v>86</v>
      </c>
      <c r="Q29" s="110" t="s">
        <v>82</v>
      </c>
      <c r="V29" s="90" t="s">
        <v>90</v>
      </c>
      <c r="W29" s="90" t="s">
        <v>80</v>
      </c>
      <c r="AB29" s="116" t="s">
        <v>84</v>
      </c>
      <c r="AC29" s="116" t="s">
        <v>89</v>
      </c>
      <c r="AI29" t="s">
        <v>109</v>
      </c>
      <c r="AJ29" s="116" t="s">
        <v>89</v>
      </c>
      <c r="AX29" s="295" t="s">
        <v>293</v>
      </c>
      <c r="AY29" s="279"/>
      <c r="BD29" s="295" t="s">
        <v>293</v>
      </c>
      <c r="BE29" s="279"/>
      <c r="BF29" s="279"/>
      <c r="BG29" s="279"/>
      <c r="BJ29" s="295" t="s">
        <v>293</v>
      </c>
      <c r="BL29" s="252"/>
      <c r="BP29" s="295" t="s">
        <v>293</v>
      </c>
      <c r="BR29" s="252"/>
      <c r="CA29" s="279"/>
    </row>
    <row r="30" spans="2:79" x14ac:dyDescent="0.25">
      <c r="P30" s="110" t="s">
        <v>87</v>
      </c>
      <c r="Q30" s="110" t="s">
        <v>88</v>
      </c>
      <c r="V30" s="90" t="s">
        <v>91</v>
      </c>
      <c r="W30" s="90" t="s">
        <v>81</v>
      </c>
      <c r="AX30" s="306" t="s">
        <v>10</v>
      </c>
      <c r="AY30" s="306" t="s">
        <v>253</v>
      </c>
      <c r="BD30" s="306" t="s">
        <v>10</v>
      </c>
      <c r="BE30" s="306" t="s">
        <v>253</v>
      </c>
      <c r="BF30" s="279"/>
      <c r="BG30" s="279"/>
      <c r="BJ30" s="306" t="s">
        <v>10</v>
      </c>
      <c r="BK30" s="306" t="s">
        <v>253</v>
      </c>
      <c r="BL30" s="252"/>
      <c r="BP30" s="306" t="s">
        <v>10</v>
      </c>
      <c r="BQ30" s="306" t="s">
        <v>253</v>
      </c>
      <c r="BR30" s="252"/>
      <c r="CA30" s="279"/>
    </row>
    <row r="31" spans="2:79" x14ac:dyDescent="0.25">
      <c r="P31" s="110" t="s">
        <v>84</v>
      </c>
      <c r="Q31" s="110" t="s">
        <v>89</v>
      </c>
      <c r="V31" s="90" t="s">
        <v>92</v>
      </c>
      <c r="W31" s="90" t="s">
        <v>82</v>
      </c>
      <c r="AX31" s="303">
        <f>SQRT((AY27-AY24)^2+(AZ27-AZ24)^2)</f>
        <v>5.0155758393229409E-2</v>
      </c>
      <c r="AY31" s="303">
        <f>CONVERT(AX31,"m","in")</f>
        <v>1.9746361572137563</v>
      </c>
      <c r="BD31" s="303">
        <f>SQRT((BE27-BE24)^2+(BF27-BF24)^2)</f>
        <v>5.0155758393229409E-2</v>
      </c>
      <c r="BE31" s="303">
        <f>CONVERT(BD31,"m","in")</f>
        <v>1.9746361572137563</v>
      </c>
      <c r="BF31" s="279"/>
      <c r="BG31" s="279"/>
      <c r="BJ31" s="303">
        <f>SQRT((BK27-BK24)^2+(BL27-BL24)^2)</f>
        <v>6.4191900579434497E-2</v>
      </c>
      <c r="BK31" s="303">
        <f>CONVERT(BJ31,"m","in")</f>
        <v>2.5272401802926971</v>
      </c>
      <c r="BL31" s="252"/>
      <c r="BP31" s="303">
        <f>SQRT((BQ27-BQ24)^2+(BR27-BR24)^2)</f>
        <v>5.0155758393229409E-2</v>
      </c>
      <c r="BQ31" s="303">
        <f>CONVERT(BP31,"m","in")</f>
        <v>1.9746361572137563</v>
      </c>
      <c r="BR31" s="252"/>
      <c r="CA31" s="279"/>
    </row>
    <row r="32" spans="2:79" x14ac:dyDescent="0.25">
      <c r="Q32" s="110" t="s">
        <v>85</v>
      </c>
      <c r="V32" s="90" t="s">
        <v>93</v>
      </c>
      <c r="W32" s="90" t="s">
        <v>83</v>
      </c>
      <c r="AX32" s="279"/>
      <c r="AY32" s="279"/>
      <c r="BD32" s="279"/>
      <c r="BE32" s="279"/>
      <c r="BF32" s="279"/>
      <c r="BG32" s="279"/>
      <c r="BL32" s="252"/>
      <c r="BR32" s="252"/>
    </row>
    <row r="33" spans="50:70" x14ac:dyDescent="0.25">
      <c r="AX33" s="295" t="s">
        <v>294</v>
      </c>
      <c r="AY33" s="279"/>
      <c r="BD33" s="295" t="s">
        <v>294</v>
      </c>
      <c r="BE33" s="279"/>
      <c r="BF33" s="279"/>
      <c r="BG33" s="279"/>
      <c r="BJ33" s="295" t="s">
        <v>294</v>
      </c>
      <c r="BL33" s="252"/>
      <c r="BP33" s="295" t="s">
        <v>294</v>
      </c>
      <c r="BR33" s="252"/>
    </row>
    <row r="34" spans="50:70" x14ac:dyDescent="0.25">
      <c r="AX34" s="306" t="s">
        <v>10</v>
      </c>
      <c r="AY34" s="306" t="s">
        <v>253</v>
      </c>
      <c r="BD34" s="306" t="s">
        <v>10</v>
      </c>
      <c r="BE34" s="306" t="s">
        <v>253</v>
      </c>
      <c r="BF34" s="279"/>
      <c r="BG34" s="279"/>
      <c r="BJ34" s="306" t="s">
        <v>10</v>
      </c>
      <c r="BK34" s="306" t="s">
        <v>253</v>
      </c>
      <c r="BL34" s="252"/>
      <c r="BP34" s="306" t="s">
        <v>10</v>
      </c>
      <c r="BQ34" s="306" t="s">
        <v>253</v>
      </c>
      <c r="BR34" s="252"/>
    </row>
    <row r="35" spans="50:70" x14ac:dyDescent="0.25">
      <c r="AX35" s="303">
        <f>0.086-AZ24</f>
        <v>4.444999999999999E-2</v>
      </c>
      <c r="AY35" s="303">
        <f>CONVERT(AX35,"m","in")</f>
        <v>1.7499999999999996</v>
      </c>
      <c r="BD35" s="303">
        <f>0.086-BF24</f>
        <v>4.444999999999999E-2</v>
      </c>
      <c r="BE35" s="303">
        <f>CONVERT(BD35,"m","in")</f>
        <v>1.7499999999999996</v>
      </c>
      <c r="BF35" s="279"/>
      <c r="BG35" s="279"/>
      <c r="BJ35" s="303">
        <f>0.086-BL24</f>
        <v>7.4449999999999988E-2</v>
      </c>
      <c r="BK35" s="303">
        <f>CONVERT(BJ35,"m","in")</f>
        <v>2.9311023622047241</v>
      </c>
      <c r="BL35" s="252"/>
      <c r="BP35" s="303">
        <f>0.086-BR24</f>
        <v>4.444999999999999E-2</v>
      </c>
      <c r="BQ35" s="303">
        <f>CONVERT(BP35,"m","in")</f>
        <v>1.7499999999999996</v>
      </c>
      <c r="BR35" s="252"/>
    </row>
    <row r="36" spans="50:70" x14ac:dyDescent="0.25">
      <c r="BJ36" s="303"/>
      <c r="BK36" s="303"/>
      <c r="BL36" s="252"/>
      <c r="BP36" s="303"/>
      <c r="BQ36" s="303"/>
      <c r="BR36" s="252"/>
    </row>
    <row r="37" spans="50:70" x14ac:dyDescent="0.25">
      <c r="BJ37" s="303"/>
      <c r="BK37" s="303"/>
      <c r="BL37" s="252"/>
      <c r="BP37" s="303"/>
      <c r="BQ37" s="303"/>
      <c r="BR37" s="252"/>
    </row>
    <row r="39" spans="50:70" x14ac:dyDescent="0.25">
      <c r="BJ39" s="279" t="s">
        <v>84</v>
      </c>
      <c r="BK39" s="279" t="s">
        <v>89</v>
      </c>
      <c r="BP39" s="279" t="s">
        <v>108</v>
      </c>
    </row>
    <row r="40" spans="50:70" x14ac:dyDescent="0.25">
      <c r="BP40" s="279" t="s">
        <v>109</v>
      </c>
      <c r="BQ40" s="279" t="s">
        <v>89</v>
      </c>
    </row>
  </sheetData>
  <pageMargins left="0.7" right="0.7" top="0.75" bottom="0.75" header="0.3" footer="0.3"/>
  <pageSetup paperSize="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1"/>
  <sheetViews>
    <sheetView workbookViewId="0">
      <selection activeCell="I23" sqref="I23"/>
    </sheetView>
  </sheetViews>
  <sheetFormatPr defaultRowHeight="15" x14ac:dyDescent="0.25"/>
  <cols>
    <col min="2" max="2" width="60.140625" bestFit="1" customWidth="1"/>
    <col min="3" max="3" width="8.5703125" bestFit="1" customWidth="1"/>
  </cols>
  <sheetData>
    <row r="2" spans="2:4" x14ac:dyDescent="0.25">
      <c r="B2" s="43" t="s">
        <v>77</v>
      </c>
      <c r="C2" s="20"/>
      <c r="D2" s="20"/>
    </row>
    <row r="3" spans="2:4" x14ac:dyDescent="0.25">
      <c r="B3" s="20" t="s">
        <v>13</v>
      </c>
      <c r="C3" s="20">
        <v>16.916599999999999</v>
      </c>
      <c r="D3" s="20" t="s">
        <v>10</v>
      </c>
    </row>
    <row r="4" spans="2:4" x14ac:dyDescent="0.25">
      <c r="B4" s="20" t="s">
        <v>14</v>
      </c>
      <c r="C4" s="20">
        <v>16.314</v>
      </c>
      <c r="D4" s="20" t="s">
        <v>10</v>
      </c>
    </row>
    <row r="5" spans="2:4" x14ac:dyDescent="0.25">
      <c r="B5" s="20" t="s">
        <v>15</v>
      </c>
      <c r="C5" s="20">
        <v>4.4729999999999999</v>
      </c>
      <c r="D5" s="20" t="s">
        <v>10</v>
      </c>
    </row>
    <row r="6" spans="2:4" x14ac:dyDescent="0.25">
      <c r="B6" s="28" t="s">
        <v>11</v>
      </c>
      <c r="C6" s="28">
        <v>15.9</v>
      </c>
      <c r="D6" s="28" t="s">
        <v>12</v>
      </c>
    </row>
    <row r="7" spans="2:4" x14ac:dyDescent="0.25">
      <c r="B7" s="28"/>
      <c r="C7" s="88"/>
      <c r="D7" s="28"/>
    </row>
    <row r="8" spans="2:4" x14ac:dyDescent="0.25">
      <c r="B8" s="43" t="s">
        <v>78</v>
      </c>
      <c r="C8" s="20"/>
      <c r="D8" s="20"/>
    </row>
    <row r="9" spans="2:4" x14ac:dyDescent="0.25">
      <c r="B9" s="20" t="s">
        <v>95</v>
      </c>
      <c r="C9" s="20">
        <f>C5-0.5</f>
        <v>3.9729999999999999</v>
      </c>
      <c r="D9" s="20" t="s">
        <v>10</v>
      </c>
    </row>
    <row r="10" spans="2:4" x14ac:dyDescent="0.25">
      <c r="B10" s="20" t="s">
        <v>94</v>
      </c>
      <c r="C10" s="44">
        <f>C3-(SQRT(16.314^2+(5.973-1.5)^2)-SQRT(16.314^2+(5.973-2)^2))</f>
        <v>16.791314106651448</v>
      </c>
      <c r="D10" s="20" t="s">
        <v>10</v>
      </c>
    </row>
    <row r="11" spans="2:4" x14ac:dyDescent="0.25">
      <c r="B11" s="98" t="s">
        <v>11</v>
      </c>
      <c r="C11" s="89">
        <f>DEGREES(ASIN(C9/C10))</f>
        <v>13.686570960981301</v>
      </c>
      <c r="D11" s="98" t="s">
        <v>12</v>
      </c>
    </row>
    <row r="14" spans="2:4" x14ac:dyDescent="0.25">
      <c r="B14" s="155" t="s">
        <v>266</v>
      </c>
    </row>
    <row r="15" spans="2:4" x14ac:dyDescent="0.25">
      <c r="B15" t="s">
        <v>261</v>
      </c>
      <c r="C15">
        <v>5</v>
      </c>
      <c r="D15" t="s">
        <v>10</v>
      </c>
    </row>
    <row r="16" spans="2:4" x14ac:dyDescent="0.25">
      <c r="B16" t="s">
        <v>262</v>
      </c>
      <c r="C16">
        <v>7</v>
      </c>
      <c r="D16" t="s">
        <v>10</v>
      </c>
    </row>
    <row r="17" spans="2:4" x14ac:dyDescent="0.25">
      <c r="B17" t="s">
        <v>263</v>
      </c>
      <c r="C17">
        <v>5</v>
      </c>
      <c r="D17" t="s">
        <v>10</v>
      </c>
    </row>
    <row r="18" spans="2:4" x14ac:dyDescent="0.25">
      <c r="B18" t="s">
        <v>264</v>
      </c>
      <c r="C18">
        <v>5</v>
      </c>
      <c r="D18" t="s">
        <v>10</v>
      </c>
    </row>
    <row r="19" spans="2:4" x14ac:dyDescent="0.25">
      <c r="B19" t="s">
        <v>265</v>
      </c>
      <c r="C19">
        <f>0.25*SUM(C15:C18)</f>
        <v>5.5</v>
      </c>
      <c r="D19" t="s">
        <v>10</v>
      </c>
    </row>
    <row r="20" spans="2:4" x14ac:dyDescent="0.25">
      <c r="B20" t="s">
        <v>267</v>
      </c>
      <c r="C20" s="248">
        <f>SUM(C15:C19)</f>
        <v>27.5</v>
      </c>
      <c r="D20" t="s">
        <v>10</v>
      </c>
    </row>
    <row r="21" spans="2:4" x14ac:dyDescent="0.25">
      <c r="B21" t="s">
        <v>267</v>
      </c>
      <c r="C21" s="248">
        <f>CONVERT(C20,"m","ft")</f>
        <v>90.223097112860899</v>
      </c>
      <c r="D21" t="s">
        <v>268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"/>
  <sheetViews>
    <sheetView workbookViewId="0">
      <selection activeCell="G6" sqref="G6"/>
    </sheetView>
  </sheetViews>
  <sheetFormatPr defaultRowHeight="15" x14ac:dyDescent="0.25"/>
  <cols>
    <col min="2" max="2" width="13.85546875" bestFit="1" customWidth="1"/>
  </cols>
  <sheetData>
    <row r="2" spans="2:4" x14ac:dyDescent="0.25">
      <c r="B2" t="s">
        <v>281</v>
      </c>
      <c r="C2" s="160">
        <v>0.39711999999999997</v>
      </c>
      <c r="D2" t="s">
        <v>284</v>
      </c>
    </row>
    <row r="3" spans="2:4" x14ac:dyDescent="0.25">
      <c r="B3" t="s">
        <v>282</v>
      </c>
      <c r="C3" s="160">
        <f>2.02-CONVERT(6.77,"in","m")</f>
        <v>1.848042</v>
      </c>
      <c r="D3" t="s">
        <v>10</v>
      </c>
    </row>
    <row r="4" spans="2:4" x14ac:dyDescent="0.25">
      <c r="B4" t="s">
        <v>283</v>
      </c>
      <c r="C4" s="160">
        <f>C2/C3</f>
        <v>0.21488689109879536</v>
      </c>
      <c r="D4" t="s">
        <v>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4"/>
  <sheetViews>
    <sheetView zoomScale="85" zoomScaleNormal="85" workbookViewId="0">
      <selection activeCell="G23" sqref="G23"/>
    </sheetView>
  </sheetViews>
  <sheetFormatPr defaultRowHeight="15" x14ac:dyDescent="0.25"/>
  <cols>
    <col min="2" max="2" width="32.28515625" customWidth="1"/>
    <col min="3" max="3" width="38.42578125" bestFit="1" customWidth="1"/>
    <col min="4" max="4" width="19.28515625" bestFit="1" customWidth="1"/>
    <col min="5" max="5" width="20.85546875" bestFit="1" customWidth="1"/>
    <col min="6" max="6" width="32.140625" bestFit="1" customWidth="1"/>
    <col min="7" max="7" width="24" bestFit="1" customWidth="1"/>
    <col min="8" max="8" width="24.85546875" bestFit="1" customWidth="1"/>
    <col min="9" max="9" width="38.7109375" bestFit="1" customWidth="1"/>
    <col min="10" max="10" width="40.5703125" bestFit="1" customWidth="1"/>
    <col min="11" max="11" width="40.5703125" style="138" bestFit="1" customWidth="1"/>
    <col min="12" max="12" width="15.7109375" style="138" bestFit="1" customWidth="1"/>
    <col min="13" max="13" width="24.28515625" bestFit="1" customWidth="1"/>
    <col min="14" max="14" width="48.28515625" customWidth="1"/>
    <col min="15" max="15" width="24.7109375" bestFit="1" customWidth="1"/>
    <col min="16" max="16" width="25.85546875" bestFit="1" customWidth="1"/>
    <col min="17" max="17" width="24.5703125" bestFit="1" customWidth="1"/>
    <col min="20" max="20" width="83.85546875" bestFit="1" customWidth="1"/>
  </cols>
  <sheetData>
    <row r="1" spans="1:22" s="138" customFormat="1" x14ac:dyDescent="0.25">
      <c r="B1" s="148" t="s">
        <v>167</v>
      </c>
      <c r="H1" s="148" t="s">
        <v>168</v>
      </c>
      <c r="N1" s="148" t="s">
        <v>271</v>
      </c>
      <c r="T1" s="148" t="s">
        <v>273</v>
      </c>
    </row>
    <row r="2" spans="1:22" ht="15.75" thickBot="1" x14ac:dyDescent="0.3">
      <c r="G2" s="138"/>
      <c r="I2">
        <v>6</v>
      </c>
      <c r="J2" t="s">
        <v>217</v>
      </c>
      <c r="K2"/>
    </row>
    <row r="3" spans="1:22" ht="45.75" thickBot="1" x14ac:dyDescent="0.3">
      <c r="B3" s="145" t="s">
        <v>16</v>
      </c>
      <c r="C3" s="185" t="s">
        <v>132</v>
      </c>
      <c r="D3" s="186" t="s">
        <v>19</v>
      </c>
      <c r="E3" s="193" t="s">
        <v>20</v>
      </c>
      <c r="G3" s="138"/>
      <c r="H3" s="145" t="s">
        <v>16</v>
      </c>
      <c r="I3" s="185" t="s">
        <v>134</v>
      </c>
      <c r="J3" s="186" t="s">
        <v>130</v>
      </c>
      <c r="K3" s="193" t="s">
        <v>131</v>
      </c>
      <c r="N3" s="155" t="s">
        <v>260</v>
      </c>
      <c r="O3" s="239"/>
      <c r="P3" s="239"/>
      <c r="Q3" s="239"/>
      <c r="R3" s="239"/>
      <c r="S3" s="239"/>
      <c r="T3" t="s">
        <v>274</v>
      </c>
      <c r="U3">
        <f>CONVERT(7540.8,"g","lbm")</f>
        <v>16.624618266837249</v>
      </c>
      <c r="V3" t="s">
        <v>270</v>
      </c>
    </row>
    <row r="4" spans="1:22" x14ac:dyDescent="0.25">
      <c r="B4" s="45" t="s">
        <v>24</v>
      </c>
      <c r="C4" s="188">
        <v>4.6100000000000002E-2</v>
      </c>
      <c r="D4" s="189">
        <f>2*(16.9166-0.12529+2)</f>
        <v>37.582619999999999</v>
      </c>
      <c r="E4" s="190">
        <f>CONVERT((C4*D4*9.81),"N","lbf")</f>
        <v>3.8209430917539042</v>
      </c>
      <c r="G4" s="138"/>
      <c r="H4" s="45" t="s">
        <v>24</v>
      </c>
      <c r="I4" s="188">
        <f>(I2/5)*J91*47.880259</f>
        <v>0.3360000001379933</v>
      </c>
      <c r="J4" s="189">
        <f>16.9166-0.12529</f>
        <v>16.791309999999999</v>
      </c>
      <c r="K4" s="190">
        <f>CONVERT((I4*J4*9.81),"N","lbf")</f>
        <v>12.442465591743987</v>
      </c>
      <c r="N4" s="239" t="s">
        <v>66</v>
      </c>
      <c r="O4" s="239">
        <v>8</v>
      </c>
      <c r="P4" s="239" t="s">
        <v>253</v>
      </c>
      <c r="Q4" s="239"/>
      <c r="R4" s="239"/>
      <c r="S4" s="239"/>
      <c r="T4" t="s">
        <v>276</v>
      </c>
      <c r="U4">
        <f>7.65*2</f>
        <v>15.3</v>
      </c>
      <c r="V4" t="s">
        <v>270</v>
      </c>
    </row>
    <row r="5" spans="1:22" ht="15.75" thickBot="1" x14ac:dyDescent="0.3">
      <c r="B5" s="227" t="s">
        <v>192</v>
      </c>
      <c r="C5" s="228">
        <f>C4*(1-(1/$C$46))</f>
        <v>1.269420289855072E-2</v>
      </c>
      <c r="D5" s="229">
        <f>D4</f>
        <v>37.582619999999999</v>
      </c>
      <c r="E5" s="230">
        <f>CONVERT((C5*D5*9.81),"N","lbf")</f>
        <v>1.0521437499032487</v>
      </c>
      <c r="G5" s="138"/>
      <c r="H5" s="48" t="s">
        <v>25</v>
      </c>
      <c r="I5" s="191">
        <f>I4*(1-(1/$C$48))</f>
        <v>0.19487162131613625</v>
      </c>
      <c r="J5" s="192">
        <f>J4</f>
        <v>16.791309999999999</v>
      </c>
      <c r="K5" s="199">
        <f>CONVERT((I5*J5*9.81),"N","lbf")</f>
        <v>7.2163197679690043</v>
      </c>
      <c r="N5" s="239" t="s">
        <v>251</v>
      </c>
      <c r="O5" s="239">
        <f>CONVERT(526.9,"g","lbm")</f>
        <v>1.1616156594521199</v>
      </c>
      <c r="P5" s="239" t="s">
        <v>270</v>
      </c>
      <c r="Q5" s="239"/>
      <c r="R5" s="239"/>
      <c r="S5" s="239"/>
    </row>
    <row r="6" spans="1:22" ht="15.75" thickBot="1" x14ac:dyDescent="0.3">
      <c r="A6" s="138"/>
      <c r="B6" s="233" t="s">
        <v>193</v>
      </c>
      <c r="C6" s="234">
        <v>1.1756000000000001E-2</v>
      </c>
      <c r="D6" s="231">
        <f>D4</f>
        <v>37.582619999999999</v>
      </c>
      <c r="E6" s="232">
        <f>CONVERT((C6*D6*9.81),"N","lbf")</f>
        <v>0.97438193029628839</v>
      </c>
      <c r="F6" s="138"/>
      <c r="G6" s="138"/>
      <c r="H6" s="20"/>
      <c r="I6" s="20"/>
      <c r="J6" s="20"/>
      <c r="K6" s="138" t="s">
        <v>143</v>
      </c>
      <c r="N6" s="239" t="s">
        <v>254</v>
      </c>
      <c r="O6" s="239">
        <v>1.1000000000000001</v>
      </c>
      <c r="P6" s="239" t="s">
        <v>252</v>
      </c>
      <c r="Q6" s="239" t="s">
        <v>269</v>
      </c>
      <c r="R6" s="239"/>
      <c r="S6" s="239"/>
      <c r="T6" s="148" t="s">
        <v>272</v>
      </c>
      <c r="U6" s="239"/>
      <c r="V6" s="239"/>
    </row>
    <row r="7" spans="1:22" s="138" customFormat="1" x14ac:dyDescent="0.25">
      <c r="A7"/>
      <c r="B7" s="212"/>
      <c r="C7" s="226"/>
      <c r="D7" s="226"/>
      <c r="E7" s="160">
        <f>E4-E6</f>
        <v>2.8465611614576156</v>
      </c>
      <c r="F7" s="138" t="s">
        <v>215</v>
      </c>
      <c r="N7" s="239" t="s">
        <v>258</v>
      </c>
      <c r="O7" s="239">
        <f>CONVERT(396.9,"g","lbm")</f>
        <v>0.87501471861177904</v>
      </c>
      <c r="P7" s="239" t="s">
        <v>270</v>
      </c>
      <c r="Q7" s="239"/>
      <c r="R7" s="239"/>
      <c r="S7" s="239"/>
      <c r="T7" s="239"/>
      <c r="U7" s="239"/>
      <c r="V7" s="239"/>
    </row>
    <row r="8" spans="1:22" s="138" customFormat="1" ht="15.75" thickBot="1" x14ac:dyDescent="0.3">
      <c r="C8" s="166"/>
      <c r="D8" s="166"/>
      <c r="E8" s="166"/>
      <c r="F8" s="20"/>
      <c r="N8" s="239" t="s">
        <v>256</v>
      </c>
      <c r="O8" s="239">
        <v>0.75</v>
      </c>
      <c r="P8" s="239" t="s">
        <v>252</v>
      </c>
      <c r="Q8" s="239" t="s">
        <v>269</v>
      </c>
      <c r="R8" s="239"/>
      <c r="S8" s="239"/>
      <c r="T8" s="239" t="s">
        <v>275</v>
      </c>
      <c r="U8" s="239">
        <f>CONVERT(58.9,"g","lbm")</f>
        <v>0.1298522724268929</v>
      </c>
      <c r="V8" s="239" t="s">
        <v>270</v>
      </c>
    </row>
    <row r="9" spans="1:22" s="138" customFormat="1" ht="45.75" thickBot="1" x14ac:dyDescent="0.3">
      <c r="B9" s="25" t="s">
        <v>16</v>
      </c>
      <c r="C9" s="185" t="s">
        <v>133</v>
      </c>
      <c r="D9" s="186" t="s">
        <v>17</v>
      </c>
      <c r="E9" s="187" t="s">
        <v>18</v>
      </c>
      <c r="H9" s="148" t="s">
        <v>169</v>
      </c>
      <c r="N9" s="239" t="s">
        <v>257</v>
      </c>
      <c r="O9" s="239">
        <v>0.5</v>
      </c>
      <c r="P9" s="239" t="s">
        <v>252</v>
      </c>
      <c r="Q9" s="239" t="s">
        <v>269</v>
      </c>
      <c r="R9" s="239"/>
      <c r="S9" s="239"/>
    </row>
    <row r="10" spans="1:22" s="138" customFormat="1" ht="15.75" thickBot="1" x14ac:dyDescent="0.3">
      <c r="B10" s="45" t="s">
        <v>24</v>
      </c>
      <c r="C10" s="188">
        <v>2.8500000000000001E-2</v>
      </c>
      <c r="D10" s="189">
        <f>3.973-1.2</f>
        <v>2.7729999999999997</v>
      </c>
      <c r="E10" s="190">
        <f>CONVERT((C10*D10*9.81),"N","lbf")</f>
        <v>0.17429194677266477</v>
      </c>
      <c r="I10"/>
      <c r="J10"/>
      <c r="K10"/>
      <c r="L10"/>
      <c r="M10"/>
      <c r="N10" s="239"/>
      <c r="O10" s="239"/>
      <c r="P10" s="239"/>
      <c r="Q10" s="239"/>
      <c r="R10" s="239"/>
      <c r="S10" s="239"/>
    </row>
    <row r="11" spans="1:22" s="138" customFormat="1" ht="30.75" thickBot="1" x14ac:dyDescent="0.3">
      <c r="B11" s="227" t="s">
        <v>192</v>
      </c>
      <c r="C11" s="228">
        <f>C10*(1-(1/$C$46))</f>
        <v>7.8478260869565188E-3</v>
      </c>
      <c r="D11" s="229">
        <f>D10</f>
        <v>2.7729999999999997</v>
      </c>
      <c r="E11" s="230">
        <f>CONVERT((C11*D11*9.81),"N","lbf")</f>
        <v>4.7993434618559844E-2</v>
      </c>
      <c r="H11" s="200" t="s">
        <v>151</v>
      </c>
      <c r="I11" s="173"/>
      <c r="L11" s="150"/>
      <c r="N11" s="155" t="s">
        <v>259</v>
      </c>
      <c r="O11" s="239"/>
      <c r="P11" s="239"/>
      <c r="Q11" s="239"/>
      <c r="R11" s="239"/>
      <c r="S11" s="239"/>
    </row>
    <row r="12" spans="1:22" s="138" customFormat="1" ht="15.75" thickBot="1" x14ac:dyDescent="0.3">
      <c r="B12" s="233" t="s">
        <v>193</v>
      </c>
      <c r="C12" s="234">
        <f>O97</f>
        <v>1.5377755454711492E-2</v>
      </c>
      <c r="D12" s="231">
        <f>D10</f>
        <v>2.7729999999999997</v>
      </c>
      <c r="E12" s="232">
        <f>CONVERT((C12*D12*9.81),"N","lbf")</f>
        <v>9.4042769655987055E-2</v>
      </c>
      <c r="F12" s="250" t="s">
        <v>280</v>
      </c>
      <c r="H12" s="168">
        <f>12^3*(K5/62.4)</f>
        <v>199.83654742068012</v>
      </c>
      <c r="I12" s="176" t="s">
        <v>148</v>
      </c>
      <c r="L12" s="150"/>
      <c r="N12" s="239" t="s">
        <v>66</v>
      </c>
      <c r="O12" s="239">
        <v>9.5</v>
      </c>
      <c r="P12" s="239" t="s">
        <v>253</v>
      </c>
      <c r="Q12" s="239"/>
      <c r="R12" s="239"/>
      <c r="S12" s="239"/>
    </row>
    <row r="13" spans="1:22" s="138" customFormat="1" ht="15.75" thickBot="1" x14ac:dyDescent="0.3">
      <c r="B13" s="20"/>
      <c r="C13" s="166"/>
      <c r="D13" s="166"/>
      <c r="E13" s="166"/>
      <c r="H13" s="168">
        <v>1.625</v>
      </c>
      <c r="I13" s="176" t="s">
        <v>149</v>
      </c>
      <c r="L13" s="150"/>
      <c r="N13" s="239" t="s">
        <v>251</v>
      </c>
      <c r="O13" s="239">
        <f>CONVERT(281.5,"g","lbm")</f>
        <v>0.62060126805043037</v>
      </c>
      <c r="P13" s="239" t="s">
        <v>270</v>
      </c>
      <c r="Q13" s="239"/>
      <c r="R13" s="239"/>
      <c r="S13" s="239"/>
    </row>
    <row r="14" spans="1:22" s="138" customFormat="1" ht="30.75" thickBot="1" x14ac:dyDescent="0.3">
      <c r="B14" s="145" t="s">
        <v>16</v>
      </c>
      <c r="C14" s="166"/>
      <c r="D14" s="166"/>
      <c r="E14" s="194" t="s">
        <v>21</v>
      </c>
      <c r="H14" s="168">
        <f>PI()*(H13/2)^2</f>
        <v>2.0739420252213869</v>
      </c>
      <c r="I14" s="176" t="s">
        <v>150</v>
      </c>
      <c r="L14" s="150"/>
      <c r="N14" s="239" t="s">
        <v>254</v>
      </c>
      <c r="O14" s="239">
        <v>0.6</v>
      </c>
      <c r="P14" s="239" t="s">
        <v>252</v>
      </c>
      <c r="Q14" s="239" t="s">
        <v>269</v>
      </c>
      <c r="R14" s="239"/>
      <c r="S14" s="239"/>
    </row>
    <row r="15" spans="1:22" s="138" customFormat="1" x14ac:dyDescent="0.25">
      <c r="B15" s="45" t="s">
        <v>24</v>
      </c>
      <c r="C15" s="166"/>
      <c r="D15" s="166"/>
      <c r="E15" s="195">
        <f>1.58-(E19*2)</f>
        <v>1.47</v>
      </c>
      <c r="F15" s="250" t="s">
        <v>279</v>
      </c>
      <c r="H15" s="168">
        <f>H12/H14</f>
        <v>96.355898569222632</v>
      </c>
      <c r="I15" s="176" t="s">
        <v>147</v>
      </c>
      <c r="L15" s="150"/>
      <c r="N15" s="239" t="s">
        <v>258</v>
      </c>
      <c r="O15" s="239">
        <f>CONVERT(127,"g","lbm")</f>
        <v>0.27998707297479453</v>
      </c>
      <c r="P15" s="239" t="s">
        <v>270</v>
      </c>
      <c r="Q15" s="239"/>
      <c r="R15" s="239"/>
      <c r="S15" s="239"/>
    </row>
    <row r="16" spans="1:22" s="138" customFormat="1" ht="15.75" thickBot="1" x14ac:dyDescent="0.3">
      <c r="B16" s="48" t="s">
        <v>25</v>
      </c>
      <c r="C16" s="166"/>
      <c r="D16" s="166"/>
      <c r="E16" s="196">
        <f>E15*(1-(1/$C$47))</f>
        <v>1.2850943396226415</v>
      </c>
      <c r="F16" s="250" t="s">
        <v>279</v>
      </c>
      <c r="H16" s="174">
        <v>0.9</v>
      </c>
      <c r="I16" s="176" t="s">
        <v>145</v>
      </c>
      <c r="L16" s="150"/>
      <c r="N16" s="239" t="s">
        <v>256</v>
      </c>
      <c r="O16" s="239">
        <v>0.25</v>
      </c>
      <c r="P16" s="239" t="s">
        <v>252</v>
      </c>
      <c r="Q16" s="239" t="s">
        <v>269</v>
      </c>
      <c r="R16" s="239"/>
      <c r="S16" s="239"/>
    </row>
    <row r="17" spans="2:19" s="138" customFormat="1" ht="15.75" thickBot="1" x14ac:dyDescent="0.3">
      <c r="C17" s="166"/>
      <c r="D17" s="166"/>
      <c r="E17" s="166"/>
      <c r="H17" s="174">
        <v>5.25</v>
      </c>
      <c r="I17" s="176" t="s">
        <v>144</v>
      </c>
      <c r="L17" s="150"/>
      <c r="N17" s="239" t="s">
        <v>257</v>
      </c>
      <c r="O17" s="239" t="s">
        <v>255</v>
      </c>
      <c r="P17" s="239" t="s">
        <v>252</v>
      </c>
      <c r="Q17" s="239" t="s">
        <v>269</v>
      </c>
      <c r="R17" s="239"/>
      <c r="S17" s="239"/>
    </row>
    <row r="18" spans="2:19" s="138" customFormat="1" ht="30.75" thickBot="1" x14ac:dyDescent="0.3">
      <c r="B18" s="145" t="s">
        <v>16</v>
      </c>
      <c r="C18" s="166"/>
      <c r="D18" s="166"/>
      <c r="E18" s="194" t="s">
        <v>22</v>
      </c>
      <c r="H18" s="201">
        <f>H15/H17/H16</f>
        <v>20.392782765973045</v>
      </c>
      <c r="I18" s="178" t="s">
        <v>146</v>
      </c>
      <c r="L18" s="150"/>
    </row>
    <row r="19" spans="2:19" s="138" customFormat="1" x14ac:dyDescent="0.25">
      <c r="B19" s="45" t="s">
        <v>24</v>
      </c>
      <c r="C19" s="166"/>
      <c r="D19" s="166"/>
      <c r="E19" s="195">
        <v>5.5E-2</v>
      </c>
      <c r="F19" s="250" t="s">
        <v>279</v>
      </c>
      <c r="H19" s="160">
        <f>0.9*62.4*H14*H17/(12^3)</f>
        <v>0.35386635805339917</v>
      </c>
      <c r="I19" s="151" t="s">
        <v>166</v>
      </c>
    </row>
    <row r="20" spans="2:19" s="138" customFormat="1" ht="15.75" thickBot="1" x14ac:dyDescent="0.3">
      <c r="B20" s="48" t="s">
        <v>25</v>
      </c>
      <c r="C20" s="166"/>
      <c r="D20" s="166"/>
      <c r="E20" s="196">
        <f>E19*(1-(1/$C$47))</f>
        <v>4.808176100628931E-2</v>
      </c>
      <c r="F20" s="250" t="s">
        <v>279</v>
      </c>
    </row>
    <row r="21" spans="2:19" s="138" customFormat="1" x14ac:dyDescent="0.25"/>
    <row r="22" spans="2:19" s="138" customFormat="1" ht="15.75" thickBot="1" x14ac:dyDescent="0.3"/>
    <row r="23" spans="2:19" s="138" customFormat="1" ht="45.75" thickBot="1" x14ac:dyDescent="0.3">
      <c r="B23" s="145" t="s">
        <v>16</v>
      </c>
      <c r="E23" s="159" t="s">
        <v>212</v>
      </c>
    </row>
    <row r="24" spans="2:19" s="138" customFormat="1" x14ac:dyDescent="0.25">
      <c r="B24" s="45" t="s">
        <v>24</v>
      </c>
      <c r="E24" s="47">
        <f>SUM(E10,E15,E19)</f>
        <v>1.6992919467726646</v>
      </c>
    </row>
    <row r="25" spans="2:19" s="138" customFormat="1" ht="15.75" thickBot="1" x14ac:dyDescent="0.3">
      <c r="B25" s="48" t="s">
        <v>25</v>
      </c>
      <c r="E25" s="198">
        <f>SUM(E11,E16,E20)</f>
        <v>1.3811695352474906</v>
      </c>
    </row>
    <row r="26" spans="2:19" s="138" customFormat="1" x14ac:dyDescent="0.25">
      <c r="E26" s="160">
        <f>E24-E25</f>
        <v>0.31812241152517395</v>
      </c>
      <c r="F26" s="138" t="s">
        <v>213</v>
      </c>
    </row>
    <row r="27" spans="2:19" s="138" customFormat="1" ht="15.75" thickBot="1" x14ac:dyDescent="0.3"/>
    <row r="28" spans="2:19" s="138" customFormat="1" ht="30.75" thickBot="1" x14ac:dyDescent="0.3">
      <c r="B28" s="145" t="s">
        <v>16</v>
      </c>
      <c r="E28" s="159" t="s">
        <v>23</v>
      </c>
    </row>
    <row r="29" spans="2:19" s="138" customFormat="1" x14ac:dyDescent="0.25">
      <c r="B29" s="45" t="s">
        <v>24</v>
      </c>
      <c r="E29" s="47">
        <f>SUM(E10,E4,E15,E19)</f>
        <v>5.520235038526569</v>
      </c>
    </row>
    <row r="30" spans="2:19" s="138" customFormat="1" ht="15.75" thickBot="1" x14ac:dyDescent="0.3">
      <c r="B30" s="48" t="s">
        <v>25</v>
      </c>
      <c r="E30" s="198">
        <f>SUM(E11,E6,E16,E20)</f>
        <v>2.3555514655437793</v>
      </c>
    </row>
    <row r="31" spans="2:19" s="138" customFormat="1" x14ac:dyDescent="0.25">
      <c r="E31" s="160">
        <f>E29-E30</f>
        <v>3.1646835729827898</v>
      </c>
      <c r="F31" s="138" t="s">
        <v>214</v>
      </c>
      <c r="G31" s="166"/>
    </row>
    <row r="32" spans="2:19" s="138" customFormat="1" x14ac:dyDescent="0.25"/>
    <row r="33" spans="1:21" s="138" customFormat="1" x14ac:dyDescent="0.25">
      <c r="E33" s="160"/>
    </row>
    <row r="34" spans="1:21" s="138" customFormat="1" ht="15.75" thickBot="1" x14ac:dyDescent="0.3">
      <c r="B34" s="148" t="s">
        <v>187</v>
      </c>
      <c r="C34" s="166"/>
      <c r="D34" s="166"/>
      <c r="E34" s="166"/>
    </row>
    <row r="35" spans="1:21" s="138" customFormat="1" ht="45.75" thickBot="1" x14ac:dyDescent="0.3">
      <c r="B35" s="145" t="s">
        <v>16</v>
      </c>
      <c r="C35" s="166"/>
      <c r="D35" s="166"/>
      <c r="E35" s="194" t="s">
        <v>190</v>
      </c>
    </row>
    <row r="36" spans="1:21" s="138" customFormat="1" x14ac:dyDescent="0.25">
      <c r="B36" s="45" t="s">
        <v>24</v>
      </c>
      <c r="C36" s="166"/>
      <c r="D36" s="166"/>
      <c r="E36" s="195">
        <f>I90*4/5</f>
        <v>0.9876694440150352</v>
      </c>
    </row>
    <row r="37" spans="1:21" ht="15.75" thickBot="1" x14ac:dyDescent="0.3">
      <c r="A37" s="138"/>
      <c r="B37" s="48" t="s">
        <v>25</v>
      </c>
      <c r="C37" s="166"/>
      <c r="D37" s="166"/>
      <c r="E37" s="223">
        <f>E36*(1-(1/$C$48))</f>
        <v>0.57282364821598497</v>
      </c>
      <c r="F37" s="87" t="str">
        <f>"+ Connectors"</f>
        <v>+ Connectors</v>
      </c>
      <c r="G37" s="138"/>
      <c r="H37" s="148" t="s">
        <v>141</v>
      </c>
      <c r="I37" s="138"/>
      <c r="J37" s="138"/>
      <c r="M37" s="138"/>
      <c r="N37" s="138"/>
      <c r="O37" s="138"/>
      <c r="P37" s="138"/>
      <c r="Q37" s="138"/>
      <c r="R37" s="138"/>
      <c r="S37" s="138"/>
      <c r="T37" s="138"/>
      <c r="U37" s="138"/>
    </row>
    <row r="38" spans="1:21" x14ac:dyDescent="0.25">
      <c r="A38" s="138"/>
      <c r="B38" s="138"/>
      <c r="C38" s="138"/>
      <c r="D38" s="138"/>
      <c r="E38" s="160">
        <f>E36-E37</f>
        <v>0.41484579579905023</v>
      </c>
      <c r="F38" s="138" t="s">
        <v>199</v>
      </c>
      <c r="G38" s="138"/>
      <c r="H38" s="197" t="s">
        <v>129</v>
      </c>
      <c r="I38" s="197" t="s">
        <v>112</v>
      </c>
      <c r="K38"/>
      <c r="L38"/>
      <c r="M38" s="138"/>
      <c r="R38" s="138"/>
      <c r="S38" s="138"/>
    </row>
    <row r="39" spans="1:21" x14ac:dyDescent="0.25">
      <c r="B39" s="138"/>
      <c r="C39" s="138"/>
      <c r="D39" s="138"/>
      <c r="E39" s="138"/>
      <c r="F39" s="138"/>
      <c r="G39" s="138"/>
      <c r="H39" s="136">
        <v>0.19</v>
      </c>
      <c r="I39" s="136" t="s">
        <v>113</v>
      </c>
      <c r="K39"/>
      <c r="L39"/>
      <c r="M39" s="138"/>
      <c r="R39" s="138"/>
      <c r="S39" s="138"/>
    </row>
    <row r="40" spans="1:21" ht="15.75" thickBot="1" x14ac:dyDescent="0.3">
      <c r="B40" s="148" t="s">
        <v>188</v>
      </c>
      <c r="C40" s="166"/>
      <c r="D40" s="166"/>
      <c r="E40" s="166"/>
      <c r="F40" s="138"/>
      <c r="G40" s="138"/>
      <c r="H40" s="136">
        <v>0.22</v>
      </c>
      <c r="I40" s="136" t="s">
        <v>114</v>
      </c>
      <c r="K40"/>
      <c r="L40"/>
      <c r="M40" s="138"/>
      <c r="R40" s="138"/>
      <c r="S40" s="138"/>
    </row>
    <row r="41" spans="1:21" s="138" customFormat="1" ht="30.75" thickBot="1" x14ac:dyDescent="0.3">
      <c r="A41"/>
      <c r="B41" s="145" t="s">
        <v>16</v>
      </c>
      <c r="C41" s="166"/>
      <c r="D41" s="166"/>
      <c r="E41" s="194" t="s">
        <v>191</v>
      </c>
      <c r="H41" s="137">
        <v>0.19</v>
      </c>
      <c r="I41" s="137" t="s">
        <v>115</v>
      </c>
      <c r="J41" s="138" t="s">
        <v>142</v>
      </c>
      <c r="K41"/>
      <c r="L41"/>
      <c r="N41"/>
      <c r="O41"/>
      <c r="P41"/>
      <c r="Q41"/>
      <c r="T41"/>
      <c r="U41"/>
    </row>
    <row r="42" spans="1:21" s="138" customFormat="1" x14ac:dyDescent="0.25">
      <c r="A42"/>
      <c r="B42" s="45" t="s">
        <v>24</v>
      </c>
      <c r="C42" s="166"/>
      <c r="D42" s="166"/>
      <c r="E42" s="195">
        <f>2*0.69</f>
        <v>1.38</v>
      </c>
      <c r="H42" s="136">
        <v>0.24</v>
      </c>
      <c r="I42" s="136" t="s">
        <v>116</v>
      </c>
      <c r="J42"/>
      <c r="K42"/>
      <c r="L42"/>
      <c r="N42"/>
      <c r="O42"/>
      <c r="P42"/>
      <c r="Q42"/>
      <c r="T42"/>
      <c r="U42"/>
    </row>
    <row r="43" spans="1:21" s="138" customFormat="1" ht="15.75" thickBot="1" x14ac:dyDescent="0.3">
      <c r="B43" s="48" t="s">
        <v>25</v>
      </c>
      <c r="C43" s="166"/>
      <c r="D43" s="166"/>
      <c r="E43" s="223">
        <f>E42*(1-(1/$C$49))</f>
        <v>0.2395041322314049</v>
      </c>
      <c r="H43" s="136">
        <v>0.24</v>
      </c>
      <c r="I43" s="136" t="s">
        <v>117</v>
      </c>
      <c r="J43"/>
      <c r="K43"/>
      <c r="L43"/>
      <c r="N43"/>
      <c r="O43"/>
      <c r="P43"/>
      <c r="Q43"/>
      <c r="T43"/>
      <c r="U43"/>
    </row>
    <row r="44" spans="1:21" x14ac:dyDescent="0.25">
      <c r="A44" s="138"/>
      <c r="B44" s="138"/>
      <c r="C44" s="138"/>
      <c r="D44" s="138"/>
      <c r="E44" s="160">
        <f>E42-E43</f>
        <v>1.140495867768595</v>
      </c>
      <c r="F44" s="138" t="s">
        <v>207</v>
      </c>
      <c r="G44" s="138"/>
      <c r="H44" s="136">
        <v>0.18</v>
      </c>
      <c r="I44" s="136" t="s">
        <v>118</v>
      </c>
      <c r="K44"/>
      <c r="L44"/>
      <c r="M44" s="138"/>
      <c r="R44" s="138"/>
      <c r="S44" s="138"/>
    </row>
    <row r="45" spans="1:21" ht="15.75" thickBot="1" x14ac:dyDescent="0.3">
      <c r="A45" s="138"/>
      <c r="B45" s="20"/>
      <c r="C45" s="20"/>
      <c r="D45" s="20"/>
      <c r="F45" s="20"/>
      <c r="G45" s="138"/>
      <c r="H45" s="137">
        <v>0.18</v>
      </c>
      <c r="I45" s="137" t="s">
        <v>119</v>
      </c>
      <c r="J45" s="138" t="s">
        <v>142</v>
      </c>
      <c r="K45"/>
      <c r="L45"/>
      <c r="M45" s="138"/>
      <c r="R45" s="138"/>
      <c r="S45" s="138"/>
    </row>
    <row r="46" spans="1:21" x14ac:dyDescent="0.25">
      <c r="B46" s="149" t="s">
        <v>26</v>
      </c>
      <c r="C46" s="224">
        <v>1.38</v>
      </c>
      <c r="D46" s="20"/>
      <c r="E46" s="235">
        <f>E30+E37+E43</f>
        <v>3.1678792459911693</v>
      </c>
      <c r="F46" t="s">
        <v>195</v>
      </c>
      <c r="H46" s="137"/>
      <c r="I46" s="137"/>
      <c r="J46" s="138"/>
      <c r="M46" s="138"/>
      <c r="N46" s="138"/>
      <c r="O46" s="138"/>
      <c r="P46" s="138"/>
      <c r="Q46" s="138"/>
      <c r="R46" s="138"/>
      <c r="S46" s="138"/>
      <c r="T46" s="138"/>
      <c r="U46" s="138"/>
    </row>
    <row r="47" spans="1:21" x14ac:dyDescent="0.25">
      <c r="B47" s="149" t="s">
        <v>27</v>
      </c>
      <c r="C47" s="224">
        <v>7.95</v>
      </c>
      <c r="D47" s="20"/>
      <c r="E47" s="236">
        <f>2*5.42-E46</f>
        <v>7.6721207540088301</v>
      </c>
      <c r="F47" s="138" t="s">
        <v>152</v>
      </c>
      <c r="H47" s="137"/>
      <c r="I47" s="137"/>
      <c r="J47" s="138"/>
      <c r="M47" s="138"/>
      <c r="N47" s="138"/>
      <c r="O47" s="138"/>
      <c r="P47" s="138"/>
      <c r="Q47" s="138"/>
      <c r="R47" s="138"/>
      <c r="S47" s="138"/>
      <c r="T47" s="138"/>
      <c r="U47" s="138"/>
    </row>
    <row r="48" spans="1:21" ht="15.75" thickBot="1" x14ac:dyDescent="0.3">
      <c r="B48" s="225" t="s">
        <v>28</v>
      </c>
      <c r="C48" s="224">
        <f>O90</f>
        <v>2.3808110242810767</v>
      </c>
      <c r="D48" s="166"/>
      <c r="E48" s="237">
        <f>E46/(2*5.42)</f>
        <v>0.29223978284051377</v>
      </c>
      <c r="F48" s="20" t="s">
        <v>194</v>
      </c>
      <c r="H48" s="137"/>
      <c r="I48" s="137"/>
      <c r="J48" s="138"/>
      <c r="M48" s="138"/>
      <c r="N48" s="138"/>
      <c r="O48" s="138"/>
      <c r="P48" s="138"/>
      <c r="Q48" s="138"/>
      <c r="R48" s="138"/>
      <c r="S48" s="138"/>
      <c r="T48" s="138"/>
      <c r="U48" s="138"/>
    </row>
    <row r="49" spans="1:21" x14ac:dyDescent="0.25">
      <c r="B49" s="225" t="s">
        <v>189</v>
      </c>
      <c r="C49" s="224">
        <v>1.21</v>
      </c>
      <c r="D49" s="166"/>
      <c r="E49" s="138"/>
      <c r="F49" s="138"/>
      <c r="H49" s="136"/>
      <c r="I49" s="136"/>
      <c r="J49" s="138"/>
      <c r="M49" s="138"/>
      <c r="N49" s="138"/>
      <c r="O49" s="138"/>
      <c r="P49" s="138"/>
      <c r="Q49" s="138"/>
      <c r="R49" s="138"/>
      <c r="S49" s="138"/>
      <c r="T49" s="138"/>
      <c r="U49" s="138"/>
    </row>
    <row r="50" spans="1:21" x14ac:dyDescent="0.25">
      <c r="B50" s="135"/>
      <c r="C50" s="160"/>
      <c r="D50" s="166"/>
      <c r="E50" s="138"/>
      <c r="F50" s="138"/>
      <c r="H50" s="148" t="s">
        <v>140</v>
      </c>
      <c r="K50"/>
      <c r="L50"/>
      <c r="M50" s="138"/>
      <c r="R50" s="138"/>
      <c r="S50" s="138"/>
    </row>
    <row r="51" spans="1:21" x14ac:dyDescent="0.25">
      <c r="B51" s="138"/>
      <c r="C51" s="138"/>
      <c r="D51" s="138"/>
      <c r="E51" s="138"/>
      <c r="F51" s="138"/>
      <c r="K51"/>
      <c r="L51"/>
      <c r="M51" s="138"/>
      <c r="R51" s="138"/>
      <c r="S51" s="138"/>
    </row>
    <row r="52" spans="1:21" s="138" customFormat="1" x14ac:dyDescent="0.25">
      <c r="A52"/>
      <c r="B52"/>
      <c r="C52"/>
      <c r="D52"/>
      <c r="E52"/>
      <c r="F52"/>
      <c r="G52"/>
      <c r="H52" s="197" t="s">
        <v>185</v>
      </c>
      <c r="I52"/>
      <c r="J52"/>
      <c r="K52"/>
      <c r="L52"/>
      <c r="N52"/>
      <c r="O52"/>
      <c r="P52"/>
      <c r="Q52"/>
      <c r="S52" s="181"/>
      <c r="T52" s="181"/>
      <c r="U52" s="181"/>
    </row>
    <row r="53" spans="1:21" s="138" customFormat="1" x14ac:dyDescent="0.25">
      <c r="A53"/>
      <c r="B53"/>
      <c r="C53"/>
      <c r="D53"/>
      <c r="E53"/>
      <c r="F53"/>
      <c r="G53"/>
      <c r="H53" s="197" t="s">
        <v>111</v>
      </c>
      <c r="I53" s="197" t="s">
        <v>112</v>
      </c>
      <c r="J53"/>
      <c r="K53"/>
      <c r="L53"/>
      <c r="N53"/>
      <c r="O53"/>
      <c r="P53"/>
      <c r="Q53"/>
      <c r="S53" s="171"/>
      <c r="T53" s="171"/>
      <c r="U53" s="171"/>
    </row>
    <row r="54" spans="1:21" s="138" customFormat="1" x14ac:dyDescent="0.25">
      <c r="B54"/>
      <c r="C54"/>
      <c r="D54"/>
      <c r="E54"/>
      <c r="F54"/>
      <c r="H54" s="136">
        <v>0.19</v>
      </c>
      <c r="I54" s="136" t="s">
        <v>113</v>
      </c>
      <c r="J54"/>
      <c r="K54"/>
      <c r="L54"/>
      <c r="N54"/>
      <c r="O54"/>
      <c r="P54"/>
      <c r="Q54"/>
      <c r="S54" s="171"/>
      <c r="T54" s="171"/>
      <c r="U54" s="171"/>
    </row>
    <row r="55" spans="1:21" s="138" customFormat="1" x14ac:dyDescent="0.25">
      <c r="B55"/>
      <c r="C55"/>
      <c r="D55"/>
      <c r="E55"/>
      <c r="F55"/>
      <c r="H55" s="136">
        <v>0.22</v>
      </c>
      <c r="I55" s="136" t="s">
        <v>136</v>
      </c>
      <c r="J55"/>
      <c r="K55"/>
      <c r="L55"/>
      <c r="M55"/>
      <c r="N55"/>
      <c r="O55"/>
      <c r="P55"/>
      <c r="R55" s="171"/>
      <c r="S55" s="171"/>
      <c r="T55" s="171"/>
      <c r="U55" s="171"/>
    </row>
    <row r="56" spans="1:21" x14ac:dyDescent="0.25">
      <c r="A56" s="138"/>
      <c r="G56" s="138"/>
      <c r="H56" s="137">
        <v>0.19</v>
      </c>
      <c r="I56" s="137" t="s">
        <v>115</v>
      </c>
      <c r="J56" t="s">
        <v>181</v>
      </c>
      <c r="K56"/>
      <c r="L56"/>
      <c r="Q56" s="138"/>
      <c r="R56" s="171"/>
      <c r="S56" s="171"/>
      <c r="T56" s="171"/>
      <c r="U56" s="171"/>
    </row>
    <row r="57" spans="1:21" x14ac:dyDescent="0.25">
      <c r="A57" s="138"/>
      <c r="G57" s="138"/>
      <c r="H57" s="136">
        <v>0.24</v>
      </c>
      <c r="I57" s="136" t="s">
        <v>116</v>
      </c>
      <c r="K57"/>
      <c r="L57"/>
      <c r="Q57" s="138"/>
      <c r="R57" s="171"/>
      <c r="S57" s="171"/>
      <c r="T57" s="171"/>
      <c r="U57" s="171"/>
    </row>
    <row r="58" spans="1:21" x14ac:dyDescent="0.25">
      <c r="H58" s="136">
        <v>0.24</v>
      </c>
      <c r="I58" s="136" t="s">
        <v>117</v>
      </c>
      <c r="K58"/>
      <c r="L58"/>
      <c r="Q58" s="138"/>
      <c r="R58" s="171"/>
      <c r="S58" s="171"/>
      <c r="T58" s="171"/>
      <c r="U58" s="171"/>
    </row>
    <row r="59" spans="1:21" x14ac:dyDescent="0.25">
      <c r="H59" s="136">
        <v>0.18</v>
      </c>
      <c r="I59" s="136" t="s">
        <v>119</v>
      </c>
      <c r="K59"/>
      <c r="L59"/>
      <c r="Q59" s="138"/>
      <c r="R59" s="171"/>
      <c r="S59" s="171"/>
      <c r="T59" s="171"/>
      <c r="U59" s="171"/>
    </row>
    <row r="60" spans="1:21" x14ac:dyDescent="0.25">
      <c r="B60" s="138"/>
      <c r="C60" s="138"/>
      <c r="D60" s="138"/>
      <c r="E60" s="138"/>
      <c r="F60" s="138"/>
      <c r="H60" s="136">
        <v>0.22</v>
      </c>
      <c r="I60" s="136" t="s">
        <v>137</v>
      </c>
      <c r="K60"/>
      <c r="L60"/>
      <c r="Q60" s="138"/>
      <c r="R60" s="171"/>
      <c r="S60" s="171"/>
      <c r="T60" s="171"/>
      <c r="U60" s="171"/>
    </row>
    <row r="61" spans="1:21" x14ac:dyDescent="0.25">
      <c r="B61" s="138"/>
      <c r="C61" s="138"/>
      <c r="D61" s="138"/>
      <c r="E61" s="138"/>
      <c r="F61" s="138"/>
      <c r="H61" s="136"/>
      <c r="K61"/>
      <c r="L61"/>
      <c r="Q61" s="138"/>
      <c r="R61" s="171"/>
      <c r="S61" s="171"/>
      <c r="T61" s="171"/>
      <c r="U61" s="171"/>
    </row>
    <row r="62" spans="1:21" x14ac:dyDescent="0.25">
      <c r="B62" s="138"/>
      <c r="C62" s="138"/>
      <c r="D62" s="138"/>
      <c r="E62" s="138"/>
      <c r="F62" s="138"/>
      <c r="H62" s="197" t="s">
        <v>184</v>
      </c>
      <c r="K62"/>
      <c r="L62"/>
      <c r="Q62" s="138"/>
      <c r="R62" s="171"/>
      <c r="S62" s="171"/>
      <c r="T62" s="171"/>
      <c r="U62" s="171"/>
    </row>
    <row r="63" spans="1:21" x14ac:dyDescent="0.25">
      <c r="B63" s="138"/>
      <c r="C63" s="138"/>
      <c r="D63" s="138"/>
      <c r="E63" s="138"/>
      <c r="F63" s="138"/>
      <c r="H63" s="136" t="s">
        <v>138</v>
      </c>
      <c r="K63"/>
      <c r="L63"/>
      <c r="Q63" s="138"/>
      <c r="R63" s="171"/>
      <c r="S63" s="171"/>
      <c r="T63" s="171"/>
      <c r="U63" s="171"/>
    </row>
    <row r="64" spans="1:21" x14ac:dyDescent="0.25">
      <c r="H64" s="136" t="s">
        <v>139</v>
      </c>
      <c r="K64"/>
      <c r="L64"/>
      <c r="Q64" s="138"/>
      <c r="R64" s="138"/>
    </row>
    <row r="65" spans="1:21" x14ac:dyDescent="0.25">
      <c r="K65"/>
      <c r="L65"/>
      <c r="Q65" s="138"/>
      <c r="R65" s="138"/>
    </row>
    <row r="66" spans="1:21" x14ac:dyDescent="0.25">
      <c r="H66" s="197" t="s">
        <v>186</v>
      </c>
      <c r="K66"/>
      <c r="L66"/>
      <c r="Q66" s="138"/>
      <c r="R66" s="138"/>
    </row>
    <row r="67" spans="1:21" x14ac:dyDescent="0.25">
      <c r="H67" s="136" t="s">
        <v>183</v>
      </c>
      <c r="K67"/>
      <c r="L67"/>
      <c r="Q67" s="138"/>
      <c r="R67" s="138"/>
    </row>
    <row r="68" spans="1:21" x14ac:dyDescent="0.25">
      <c r="H68" s="136" t="s">
        <v>182</v>
      </c>
      <c r="K68"/>
      <c r="L68"/>
      <c r="Q68" s="138"/>
      <c r="R68" s="138"/>
    </row>
    <row r="69" spans="1:21" x14ac:dyDescent="0.25">
      <c r="H69" s="136"/>
      <c r="K69"/>
      <c r="L69"/>
      <c r="Q69" s="138"/>
      <c r="R69" s="138"/>
    </row>
    <row r="70" spans="1:21" x14ac:dyDescent="0.25">
      <c r="H70" s="276" t="s">
        <v>177</v>
      </c>
      <c r="I70" s="277"/>
      <c r="J70" s="136"/>
      <c r="K70" s="136"/>
      <c r="M70" s="138"/>
      <c r="N70" s="138"/>
      <c r="O70" s="138"/>
      <c r="P70" s="138"/>
      <c r="Q70" s="138"/>
      <c r="R70" s="138"/>
      <c r="S70" s="138"/>
      <c r="T70" s="138"/>
      <c r="U70" s="138"/>
    </row>
    <row r="71" spans="1:21" x14ac:dyDescent="0.25">
      <c r="H71" s="136">
        <v>0.19</v>
      </c>
      <c r="I71" s="136" t="s">
        <v>113</v>
      </c>
      <c r="J71" s="136"/>
      <c r="K71" s="136"/>
      <c r="M71" s="138"/>
      <c r="N71" s="138"/>
      <c r="O71" s="138"/>
      <c r="P71" s="138"/>
      <c r="Q71" s="138"/>
      <c r="R71" s="138"/>
      <c r="S71" s="138"/>
      <c r="T71" s="138"/>
      <c r="U71" s="138"/>
    </row>
    <row r="72" spans="1:21" x14ac:dyDescent="0.25">
      <c r="H72" s="136">
        <v>0.22</v>
      </c>
      <c r="I72" s="136" t="s">
        <v>136</v>
      </c>
      <c r="J72" s="136"/>
      <c r="K72" s="136"/>
      <c r="M72" s="138"/>
      <c r="N72" s="138"/>
      <c r="O72" s="138"/>
      <c r="P72" s="138"/>
      <c r="Q72" s="138"/>
      <c r="R72" s="138"/>
      <c r="S72" s="138"/>
      <c r="T72" s="138"/>
      <c r="U72" s="138"/>
    </row>
    <row r="73" spans="1:21" x14ac:dyDescent="0.25">
      <c r="H73" s="136">
        <v>0.24</v>
      </c>
      <c r="I73" s="136" t="s">
        <v>116</v>
      </c>
      <c r="J73" s="136"/>
      <c r="K73" s="136"/>
      <c r="M73" s="138"/>
      <c r="N73" s="138"/>
      <c r="O73" s="138"/>
      <c r="P73" s="138"/>
      <c r="Q73" s="138"/>
      <c r="R73" s="138"/>
      <c r="S73" s="138"/>
      <c r="T73" s="138"/>
      <c r="U73" s="138"/>
    </row>
    <row r="74" spans="1:21" x14ac:dyDescent="0.25">
      <c r="H74" s="276" t="s">
        <v>178</v>
      </c>
      <c r="I74" s="277"/>
      <c r="J74" s="136"/>
      <c r="K74" s="136"/>
      <c r="M74" s="138"/>
      <c r="N74" s="138"/>
      <c r="O74" s="138"/>
      <c r="P74" s="138"/>
      <c r="Q74" s="138"/>
      <c r="R74" s="138"/>
      <c r="S74" s="138"/>
      <c r="T74" s="138"/>
      <c r="U74" s="138"/>
    </row>
    <row r="75" spans="1:21" x14ac:dyDescent="0.25">
      <c r="H75" s="136">
        <v>0.24</v>
      </c>
      <c r="I75" s="136" t="s">
        <v>117</v>
      </c>
      <c r="J75" s="136"/>
      <c r="K75" s="136"/>
      <c r="M75" s="138"/>
      <c r="N75" s="138"/>
      <c r="O75" s="138"/>
      <c r="P75" s="138"/>
      <c r="Q75" s="138"/>
      <c r="R75" s="138"/>
      <c r="S75" s="138"/>
      <c r="T75" s="138"/>
      <c r="U75" s="138"/>
    </row>
    <row r="76" spans="1:21" s="138" customFormat="1" x14ac:dyDescent="0.25">
      <c r="A76"/>
      <c r="B76"/>
      <c r="C76"/>
      <c r="D76"/>
      <c r="E76"/>
      <c r="F76"/>
      <c r="G76"/>
      <c r="H76" s="276" t="s">
        <v>179</v>
      </c>
      <c r="I76" s="277"/>
      <c r="J76" s="136"/>
      <c r="K76" s="136"/>
    </row>
    <row r="77" spans="1:21" s="138" customFormat="1" x14ac:dyDescent="0.25">
      <c r="A77"/>
      <c r="B77"/>
      <c r="C77"/>
      <c r="D77"/>
      <c r="E77"/>
      <c r="F77"/>
      <c r="G77"/>
      <c r="H77" s="136">
        <v>0.19</v>
      </c>
      <c r="I77" s="136" t="s">
        <v>176</v>
      </c>
      <c r="J77" s="136"/>
      <c r="K77" s="136"/>
    </row>
    <row r="78" spans="1:21" s="138" customFormat="1" x14ac:dyDescent="0.25">
      <c r="B78"/>
      <c r="C78"/>
      <c r="D78"/>
      <c r="E78"/>
      <c r="F78"/>
      <c r="H78" s="136">
        <v>0.22</v>
      </c>
      <c r="I78" s="136" t="s">
        <v>180</v>
      </c>
      <c r="J78" s="136"/>
      <c r="K78" s="136"/>
    </row>
    <row r="79" spans="1:21" s="138" customFormat="1" x14ac:dyDescent="0.25">
      <c r="B79"/>
      <c r="C79"/>
      <c r="D79"/>
      <c r="E79"/>
      <c r="F79"/>
      <c r="H79"/>
      <c r="I79"/>
      <c r="J79"/>
      <c r="K79"/>
      <c r="L79"/>
      <c r="M79"/>
      <c r="N79"/>
      <c r="O79"/>
      <c r="P79"/>
      <c r="S79"/>
      <c r="T79"/>
      <c r="U79"/>
    </row>
    <row r="80" spans="1:21" s="138" customFormat="1" x14ac:dyDescent="0.25">
      <c r="B80"/>
      <c r="C80"/>
      <c r="D80"/>
      <c r="E80"/>
      <c r="F80"/>
      <c r="H80"/>
      <c r="I80"/>
      <c r="J80"/>
      <c r="K80"/>
      <c r="L80"/>
      <c r="M80"/>
      <c r="N80"/>
      <c r="O80"/>
      <c r="P80"/>
      <c r="S80"/>
      <c r="T80"/>
      <c r="U80"/>
    </row>
    <row r="81" spans="1:21" s="138" customFormat="1" x14ac:dyDescent="0.25">
      <c r="B81"/>
      <c r="C81"/>
      <c r="D81"/>
      <c r="E81"/>
      <c r="F81"/>
      <c r="H81" s="148" t="s">
        <v>175</v>
      </c>
      <c r="I81"/>
      <c r="J81"/>
      <c r="K81"/>
      <c r="L81"/>
      <c r="M81"/>
      <c r="N81"/>
      <c r="O81"/>
      <c r="P81"/>
      <c r="S81"/>
      <c r="T81"/>
      <c r="U81"/>
    </row>
    <row r="82" spans="1:21" s="138" customFormat="1" x14ac:dyDescent="0.25">
      <c r="B82"/>
      <c r="C82"/>
      <c r="D82"/>
      <c r="E82"/>
      <c r="F82"/>
      <c r="H82" t="s">
        <v>135</v>
      </c>
      <c r="I82"/>
      <c r="J82"/>
      <c r="K82"/>
      <c r="L82"/>
      <c r="M82"/>
      <c r="N82"/>
      <c r="O82"/>
      <c r="P82"/>
      <c r="S82"/>
      <c r="T82"/>
      <c r="U82"/>
    </row>
    <row r="83" spans="1:21" s="138" customFormat="1" x14ac:dyDescent="0.25">
      <c r="B83"/>
      <c r="C83"/>
      <c r="D83"/>
      <c r="E83"/>
      <c r="F83"/>
      <c r="H83" s="141" t="s">
        <v>120</v>
      </c>
      <c r="I83" s="141" t="s">
        <v>30</v>
      </c>
      <c r="J83" s="141" t="s">
        <v>121</v>
      </c>
      <c r="K83" s="141" t="s">
        <v>122</v>
      </c>
      <c r="L83" s="141" t="s">
        <v>123</v>
      </c>
      <c r="M83" s="141" t="s">
        <v>124</v>
      </c>
      <c r="N83" s="141" t="s">
        <v>125</v>
      </c>
      <c r="O83" s="141" t="s">
        <v>126</v>
      </c>
      <c r="P83"/>
      <c r="S83"/>
      <c r="T83"/>
      <c r="U83"/>
    </row>
    <row r="84" spans="1:21" s="138" customFormat="1" x14ac:dyDescent="0.25">
      <c r="H84" s="158">
        <v>100</v>
      </c>
      <c r="I84" s="158">
        <v>5.6</v>
      </c>
      <c r="J84" s="158">
        <f>I84/32.174</f>
        <v>0.17405358363896312</v>
      </c>
      <c r="K84" s="158">
        <f>0.24/12</f>
        <v>0.02</v>
      </c>
      <c r="L84" s="180">
        <f>PI()*(K84/2)^2</f>
        <v>3.1415926535897931E-4</v>
      </c>
      <c r="M84" s="180">
        <f>L84*H84</f>
        <v>3.1415926535897934E-2</v>
      </c>
      <c r="N84" s="158">
        <f>J84/M84</f>
        <v>5.540297639799924</v>
      </c>
      <c r="O84" s="158">
        <f>N84/1.94032324236962</f>
        <v>2.8553477682583623</v>
      </c>
      <c r="P84"/>
      <c r="S84"/>
      <c r="T84"/>
      <c r="U84"/>
    </row>
    <row r="85" spans="1:21" x14ac:dyDescent="0.25">
      <c r="A85" s="138"/>
      <c r="B85" s="138"/>
      <c r="C85" s="138"/>
      <c r="D85" s="138"/>
      <c r="E85" s="138"/>
      <c r="F85" s="138"/>
      <c r="G85" s="138"/>
      <c r="H85" s="158">
        <v>1</v>
      </c>
      <c r="I85" s="180">
        <f>I84*($H$85/$H$84)</f>
        <v>5.5999999999999994E-2</v>
      </c>
      <c r="J85" s="158">
        <f>I85/32.174</f>
        <v>1.7405358363896313E-3</v>
      </c>
      <c r="K85" s="158">
        <f>K84</f>
        <v>0.02</v>
      </c>
      <c r="L85" s="180">
        <f>L84</f>
        <v>3.1415926535897931E-4</v>
      </c>
      <c r="M85" s="180">
        <f>M84*($H$85/$H$84)</f>
        <v>3.1415926535897936E-4</v>
      </c>
      <c r="N85" s="158">
        <f>J85/M85</f>
        <v>5.540297639799924</v>
      </c>
      <c r="O85" s="158">
        <f>N85/1.94032324236962</f>
        <v>2.8553477682583623</v>
      </c>
      <c r="Q85" s="138"/>
      <c r="R85" s="138"/>
    </row>
    <row r="86" spans="1:21" x14ac:dyDescent="0.25">
      <c r="A86" s="138"/>
      <c r="B86" s="138"/>
      <c r="C86" s="138"/>
      <c r="D86" s="138"/>
      <c r="E86" s="138"/>
      <c r="F86" s="138"/>
      <c r="G86" s="138"/>
      <c r="K86"/>
      <c r="L86"/>
      <c r="Q86" s="138"/>
      <c r="R86" s="138"/>
    </row>
    <row r="87" spans="1:21" x14ac:dyDescent="0.25">
      <c r="B87" s="138"/>
      <c r="C87" s="138"/>
      <c r="D87" s="138"/>
      <c r="E87" s="138"/>
      <c r="F87" s="138"/>
      <c r="K87"/>
      <c r="L87"/>
      <c r="Q87" s="138"/>
      <c r="R87" s="138"/>
    </row>
    <row r="88" spans="1:21" x14ac:dyDescent="0.25">
      <c r="B88" s="138"/>
      <c r="C88" s="138"/>
      <c r="D88" s="138"/>
      <c r="E88" s="138"/>
      <c r="F88" s="138"/>
      <c r="H88" t="s">
        <v>128</v>
      </c>
      <c r="K88"/>
      <c r="L88"/>
      <c r="Q88" s="138"/>
      <c r="R88" s="138"/>
    </row>
    <row r="89" spans="1:21" x14ac:dyDescent="0.25">
      <c r="B89" s="138"/>
      <c r="C89" s="138"/>
      <c r="D89" s="138"/>
      <c r="E89" s="138"/>
      <c r="F89" s="138"/>
      <c r="H89" s="141" t="s">
        <v>120</v>
      </c>
      <c r="I89" s="141" t="s">
        <v>30</v>
      </c>
      <c r="J89" s="141" t="s">
        <v>121</v>
      </c>
      <c r="K89" s="141" t="s">
        <v>122</v>
      </c>
      <c r="L89" s="141" t="s">
        <v>123</v>
      </c>
      <c r="M89" s="141" t="s">
        <v>124</v>
      </c>
      <c r="N89" s="141" t="s">
        <v>125</v>
      </c>
      <c r="O89" s="141" t="s">
        <v>126</v>
      </c>
      <c r="Q89" s="138"/>
      <c r="R89" s="138"/>
    </row>
    <row r="90" spans="1:21" x14ac:dyDescent="0.25">
      <c r="B90" s="138"/>
      <c r="C90" s="138"/>
      <c r="D90" s="138"/>
      <c r="E90" s="138"/>
      <c r="F90" s="138"/>
      <c r="H90" s="158">
        <f>CONVERT(2,"m","ft")</f>
        <v>6.5616797900262469</v>
      </c>
      <c r="I90" s="158">
        <f>J90*32.174</f>
        <v>1.234586805018794</v>
      </c>
      <c r="J90" s="158">
        <f>CONVERT(560,"g","sg")</f>
        <v>3.8372188879803384E-2</v>
      </c>
      <c r="K90" s="158" t="s">
        <v>127</v>
      </c>
      <c r="L90" s="180">
        <f>PI()*((H40/24)^2+(H42/24)^2+(H43/24)^2+(H44/24)^2+(H39/24)^2)</f>
        <v>1.2659091230871372E-3</v>
      </c>
      <c r="M90" s="180">
        <f>L90*H90</f>
        <v>8.3064903089707168E-3</v>
      </c>
      <c r="N90" s="158">
        <f>J90/M90</f>
        <v>4.6195429661023946</v>
      </c>
      <c r="O90" s="158">
        <f>N90/1.94032324236962</f>
        <v>2.3808110242810767</v>
      </c>
      <c r="Q90" s="138"/>
      <c r="R90" s="138"/>
    </row>
    <row r="91" spans="1:21" x14ac:dyDescent="0.25">
      <c r="B91" s="138"/>
      <c r="C91" s="138"/>
      <c r="D91" s="138"/>
      <c r="E91" s="138"/>
      <c r="F91" s="138"/>
      <c r="H91" s="158">
        <v>1</v>
      </c>
      <c r="I91" s="158">
        <f>I90*(H91/H90)</f>
        <v>0.18815102908486422</v>
      </c>
      <c r="J91" s="158">
        <f>$H$91*(J90/$H$90)</f>
        <v>5.8479215852820354E-3</v>
      </c>
      <c r="K91" s="158" t="str">
        <f>K90</f>
        <v>See Above</v>
      </c>
      <c r="L91" s="180">
        <f>L90</f>
        <v>1.2659091230871372E-3</v>
      </c>
      <c r="M91" s="180">
        <f>M90*(H91/$H$90)</f>
        <v>1.2659091230871372E-3</v>
      </c>
      <c r="N91" s="158">
        <f>J91/M91</f>
        <v>4.6195429661023946</v>
      </c>
      <c r="O91" s="158">
        <f>N91/1.94032324236962</f>
        <v>2.3808110242810767</v>
      </c>
      <c r="Q91" s="138"/>
      <c r="R91" s="138"/>
    </row>
    <row r="92" spans="1:21" x14ac:dyDescent="0.25">
      <c r="B92" s="138"/>
      <c r="C92" s="138"/>
      <c r="D92" s="138"/>
      <c r="E92" s="138"/>
      <c r="F92" s="138"/>
      <c r="K92"/>
      <c r="L92"/>
      <c r="Q92" s="138"/>
      <c r="R92" s="138"/>
    </row>
    <row r="93" spans="1:21" x14ac:dyDescent="0.25">
      <c r="K93"/>
      <c r="L93"/>
      <c r="Q93" s="138"/>
      <c r="R93" s="138"/>
    </row>
    <row r="94" spans="1:21" ht="15.75" thickBot="1" x14ac:dyDescent="0.3">
      <c r="H94" s="249" t="s">
        <v>278</v>
      </c>
      <c r="K94"/>
      <c r="L94"/>
      <c r="Q94" s="138"/>
      <c r="R94" s="138"/>
    </row>
    <row r="95" spans="1:21" x14ac:dyDescent="0.25">
      <c r="H95" s="202"/>
      <c r="I95" s="203" t="s">
        <v>153</v>
      </c>
      <c r="J95" s="203" t="s">
        <v>154</v>
      </c>
      <c r="K95" s="203" t="s">
        <v>155</v>
      </c>
      <c r="L95" s="203" t="s">
        <v>120</v>
      </c>
      <c r="M95" s="204" t="s">
        <v>34</v>
      </c>
      <c r="N95" s="213" t="s">
        <v>170</v>
      </c>
      <c r="O95" s="214" t="s">
        <v>172</v>
      </c>
      <c r="P95" s="215" t="s">
        <v>171</v>
      </c>
      <c r="Q95" s="138"/>
      <c r="R95" s="138"/>
    </row>
    <row r="96" spans="1:21" x14ac:dyDescent="0.25">
      <c r="H96" s="205" t="s">
        <v>156</v>
      </c>
      <c r="I96" s="206"/>
      <c r="J96" s="206"/>
      <c r="K96" s="206"/>
      <c r="L96" s="206"/>
      <c r="M96" s="207"/>
      <c r="N96" s="174"/>
      <c r="O96" s="150"/>
      <c r="P96" s="176"/>
      <c r="Q96" s="138"/>
      <c r="R96" s="138"/>
    </row>
    <row r="97" spans="8:18" x14ac:dyDescent="0.25">
      <c r="H97" s="208"/>
      <c r="I97" s="206" t="s">
        <v>157</v>
      </c>
      <c r="J97" s="206">
        <v>4.26</v>
      </c>
      <c r="K97" s="206">
        <v>2.25</v>
      </c>
      <c r="L97" s="206">
        <f>217+(8/12)</f>
        <v>217.66666666666666</v>
      </c>
      <c r="M97" s="207" t="s">
        <v>158</v>
      </c>
      <c r="N97" s="216">
        <f>K97/L97</f>
        <v>1.0336906584992343E-2</v>
      </c>
      <c r="O97" s="217">
        <f>N97*14.5939/9.81</f>
        <v>1.5377755454711492E-2</v>
      </c>
      <c r="P97" s="218">
        <f>O97/C11</f>
        <v>1.9594923848108834</v>
      </c>
      <c r="Q97" s="138"/>
      <c r="R97" s="138"/>
    </row>
    <row r="98" spans="8:18" x14ac:dyDescent="0.25">
      <c r="H98" s="208"/>
      <c r="I98" s="206" t="s">
        <v>159</v>
      </c>
      <c r="J98" s="206">
        <v>1.71</v>
      </c>
      <c r="K98" s="206">
        <v>1.0149999999999999</v>
      </c>
      <c r="L98" s="206">
        <f>54+(3/12)</f>
        <v>54.25</v>
      </c>
      <c r="M98" s="207" t="s">
        <v>160</v>
      </c>
      <c r="N98" s="216">
        <f>K98/L98</f>
        <v>1.8709677419354837E-2</v>
      </c>
      <c r="O98" s="217">
        <f>N98*14.5939/9.81</f>
        <v>2.7833553648350919E-2</v>
      </c>
      <c r="P98" s="218">
        <f>O98/C5</f>
        <v>2.1926192507548969</v>
      </c>
      <c r="Q98" s="138"/>
      <c r="R98" s="138"/>
    </row>
    <row r="99" spans="8:18" x14ac:dyDescent="0.25">
      <c r="H99" s="208"/>
      <c r="I99" s="206"/>
      <c r="J99" s="206"/>
      <c r="K99" s="206"/>
      <c r="L99" s="206"/>
      <c r="M99" s="207"/>
      <c r="N99" s="174"/>
      <c r="O99" s="150"/>
      <c r="P99" s="176"/>
      <c r="Q99" s="138"/>
      <c r="R99" s="138"/>
    </row>
    <row r="100" spans="8:18" x14ac:dyDescent="0.25">
      <c r="H100" s="205" t="s">
        <v>161</v>
      </c>
      <c r="I100" s="206"/>
      <c r="J100" s="206"/>
      <c r="K100" s="206"/>
      <c r="L100" s="206"/>
      <c r="M100" s="207"/>
      <c r="N100" s="80" t="s">
        <v>173</v>
      </c>
      <c r="O100" s="150"/>
      <c r="P100" s="176"/>
      <c r="Q100" s="138"/>
      <c r="R100" s="138"/>
    </row>
    <row r="101" spans="8:18" x14ac:dyDescent="0.25">
      <c r="H101" s="174"/>
      <c r="I101" s="206">
        <v>0.17199999999999999</v>
      </c>
      <c r="J101" s="206">
        <v>4.7</v>
      </c>
      <c r="K101" s="206" t="s">
        <v>162</v>
      </c>
      <c r="L101" s="206">
        <v>175</v>
      </c>
      <c r="M101" s="207" t="s">
        <v>164</v>
      </c>
      <c r="N101" s="219">
        <f>(J101/32.174)/(L101*(PI()*(I101/(2*12))^2))</f>
        <v>5.1733334105260838</v>
      </c>
      <c r="O101" s="150"/>
      <c r="P101" s="176"/>
      <c r="Q101" s="138"/>
      <c r="R101" s="138"/>
    </row>
    <row r="102" spans="8:18" x14ac:dyDescent="0.25">
      <c r="H102" s="208"/>
      <c r="I102" s="206">
        <v>0.21</v>
      </c>
      <c r="J102" s="206">
        <v>4.2149999999999999</v>
      </c>
      <c r="K102" s="206" t="s">
        <v>162</v>
      </c>
      <c r="L102" s="206">
        <v>200</v>
      </c>
      <c r="M102" s="207" t="s">
        <v>165</v>
      </c>
      <c r="N102" s="219">
        <f t="shared" ref="N102:N107" si="0">(J102/32.174)/(L102*(PI()*(I102/(2*12))^2))</f>
        <v>2.7233066532660861</v>
      </c>
      <c r="O102" s="150"/>
      <c r="P102" s="176"/>
      <c r="Q102" s="138"/>
      <c r="R102" s="138"/>
    </row>
    <row r="103" spans="8:18" x14ac:dyDescent="0.25">
      <c r="H103" s="208"/>
      <c r="I103" s="206">
        <v>0.17199999999999999</v>
      </c>
      <c r="J103" s="206">
        <v>3.54</v>
      </c>
      <c r="K103" s="206" t="s">
        <v>162</v>
      </c>
      <c r="L103" s="206">
        <v>125</v>
      </c>
      <c r="M103" s="207" t="s">
        <v>164</v>
      </c>
      <c r="N103" s="219">
        <f t="shared" si="0"/>
        <v>5.4551149750143129</v>
      </c>
      <c r="O103" s="150"/>
      <c r="P103" s="176"/>
      <c r="Q103" s="138"/>
      <c r="R103" s="138"/>
    </row>
    <row r="104" spans="8:18" x14ac:dyDescent="0.25">
      <c r="H104" s="208"/>
      <c r="I104" s="206">
        <v>0.23</v>
      </c>
      <c r="J104" s="206">
        <v>6.1849999999999996</v>
      </c>
      <c r="K104" s="206" t="s">
        <v>162</v>
      </c>
      <c r="L104" s="206">
        <v>150</v>
      </c>
      <c r="M104" s="207" t="s">
        <v>163</v>
      </c>
      <c r="N104" s="219">
        <f t="shared" si="0"/>
        <v>4.441813565497708</v>
      </c>
      <c r="O104" s="150"/>
      <c r="P104" s="176"/>
      <c r="Q104" s="138"/>
      <c r="R104" s="138"/>
    </row>
    <row r="105" spans="8:18" x14ac:dyDescent="0.25">
      <c r="H105" s="208"/>
      <c r="I105" s="206">
        <v>0.23</v>
      </c>
      <c r="J105" s="206">
        <v>6.1849999999999996</v>
      </c>
      <c r="K105" s="206" t="s">
        <v>162</v>
      </c>
      <c r="L105" s="206">
        <v>150</v>
      </c>
      <c r="M105" s="207" t="s">
        <v>163</v>
      </c>
      <c r="N105" s="219">
        <f t="shared" si="0"/>
        <v>4.441813565497708</v>
      </c>
      <c r="O105" s="150"/>
      <c r="P105" s="176"/>
      <c r="Q105" s="138"/>
      <c r="R105" s="138"/>
    </row>
    <row r="106" spans="8:18" x14ac:dyDescent="0.25">
      <c r="H106" s="208"/>
      <c r="I106" s="206">
        <v>0.17199999999999999</v>
      </c>
      <c r="J106" s="206">
        <v>3.54</v>
      </c>
      <c r="K106" s="206" t="s">
        <v>162</v>
      </c>
      <c r="L106" s="206">
        <v>125</v>
      </c>
      <c r="M106" s="207" t="s">
        <v>164</v>
      </c>
      <c r="N106" s="219">
        <f t="shared" si="0"/>
        <v>5.4551149750143129</v>
      </c>
      <c r="O106" s="150"/>
      <c r="P106" s="176"/>
      <c r="Q106" s="138"/>
      <c r="R106" s="138"/>
    </row>
    <row r="107" spans="8:18" ht="15.75" thickBot="1" x14ac:dyDescent="0.3">
      <c r="H107" s="209"/>
      <c r="I107" s="210">
        <v>0.23</v>
      </c>
      <c r="J107" s="210">
        <v>6.1849999999999996</v>
      </c>
      <c r="K107" s="210" t="s">
        <v>162</v>
      </c>
      <c r="L107" s="210">
        <v>150</v>
      </c>
      <c r="M107" s="211" t="s">
        <v>163</v>
      </c>
      <c r="N107" s="222">
        <f t="shared" si="0"/>
        <v>4.441813565497708</v>
      </c>
      <c r="O107" s="19"/>
      <c r="P107" s="178"/>
      <c r="Q107" s="138"/>
      <c r="R107" s="138"/>
    </row>
    <row r="108" spans="8:18" x14ac:dyDescent="0.25">
      <c r="K108"/>
      <c r="L108"/>
      <c r="M108" s="220" t="s">
        <v>174</v>
      </c>
      <c r="N108" s="221">
        <f>AVERAGE(N101:N107)</f>
        <v>4.5903301014734179</v>
      </c>
      <c r="P108" s="162">
        <f>N108/N91</f>
        <v>0.99367624354977602</v>
      </c>
      <c r="Q108" s="138"/>
      <c r="R108" s="138"/>
    </row>
    <row r="109" spans="8:18" x14ac:dyDescent="0.25">
      <c r="K109"/>
      <c r="L109"/>
      <c r="Q109" s="138"/>
      <c r="R109" s="138"/>
    </row>
    <row r="110" spans="8:18" x14ac:dyDescent="0.25">
      <c r="K110"/>
      <c r="L110"/>
      <c r="Q110" s="138"/>
      <c r="R110" s="138"/>
    </row>
    <row r="111" spans="8:18" x14ac:dyDescent="0.25">
      <c r="K111"/>
      <c r="L111"/>
      <c r="Q111" s="138"/>
      <c r="R111" s="138"/>
    </row>
    <row r="112" spans="8:18" x14ac:dyDescent="0.25">
      <c r="K112"/>
      <c r="L112"/>
      <c r="Q112" s="138"/>
      <c r="R112" s="138"/>
    </row>
    <row r="113" spans="11:18" x14ac:dyDescent="0.25">
      <c r="K113"/>
      <c r="L113"/>
      <c r="Q113" s="138"/>
      <c r="R113" s="138"/>
    </row>
    <row r="114" spans="11:18" x14ac:dyDescent="0.25">
      <c r="K114"/>
      <c r="L114"/>
      <c r="Q114" s="138"/>
      <c r="R114" s="138"/>
    </row>
    <row r="115" spans="11:18" x14ac:dyDescent="0.25">
      <c r="K115"/>
      <c r="L115"/>
      <c r="Q115" s="138"/>
      <c r="R115" s="138"/>
    </row>
    <row r="116" spans="11:18" x14ac:dyDescent="0.25">
      <c r="K116"/>
      <c r="L116"/>
      <c r="Q116" s="138"/>
      <c r="R116" s="138"/>
    </row>
    <row r="117" spans="11:18" x14ac:dyDescent="0.25">
      <c r="K117"/>
      <c r="L117"/>
      <c r="Q117" s="138"/>
      <c r="R117" s="138"/>
    </row>
    <row r="118" spans="11:18" x14ac:dyDescent="0.25">
      <c r="K118"/>
      <c r="L118"/>
      <c r="Q118" s="138"/>
      <c r="R118" s="138"/>
    </row>
    <row r="119" spans="11:18" x14ac:dyDescent="0.25">
      <c r="K119"/>
      <c r="L119"/>
      <c r="Q119" s="138"/>
      <c r="R119" s="138"/>
    </row>
    <row r="120" spans="11:18" x14ac:dyDescent="0.25">
      <c r="K120"/>
      <c r="L120"/>
      <c r="Q120" s="138"/>
      <c r="R120" s="138"/>
    </row>
    <row r="121" spans="11:18" x14ac:dyDescent="0.25">
      <c r="K121"/>
      <c r="L121"/>
      <c r="Q121" s="138"/>
      <c r="R121" s="138"/>
    </row>
    <row r="122" spans="11:18" x14ac:dyDescent="0.25">
      <c r="K122"/>
      <c r="L122"/>
      <c r="Q122" s="138"/>
      <c r="R122" s="138"/>
    </row>
    <row r="123" spans="11:18" x14ac:dyDescent="0.25">
      <c r="K123"/>
      <c r="L123"/>
      <c r="Q123" s="138"/>
      <c r="R123" s="138"/>
    </row>
    <row r="124" spans="11:18" x14ac:dyDescent="0.25">
      <c r="K124"/>
      <c r="L124"/>
      <c r="Q124" s="138"/>
      <c r="R124" s="138"/>
    </row>
    <row r="125" spans="11:18" x14ac:dyDescent="0.25">
      <c r="K125"/>
      <c r="L125"/>
      <c r="Q125" s="138"/>
      <c r="R125" s="138"/>
    </row>
    <row r="126" spans="11:18" x14ac:dyDescent="0.25">
      <c r="K126"/>
      <c r="L126"/>
      <c r="Q126" s="138"/>
      <c r="R126" s="138"/>
    </row>
    <row r="127" spans="11:18" x14ac:dyDescent="0.25">
      <c r="K127"/>
      <c r="L127"/>
      <c r="Q127" s="138"/>
      <c r="R127" s="138"/>
    </row>
    <row r="128" spans="11:18" x14ac:dyDescent="0.25">
      <c r="K128"/>
      <c r="L128"/>
      <c r="Q128" s="138"/>
      <c r="R128" s="138"/>
    </row>
    <row r="129" spans="11:18" x14ac:dyDescent="0.25">
      <c r="K129"/>
      <c r="L129"/>
      <c r="Q129" s="138"/>
      <c r="R129" s="138"/>
    </row>
    <row r="130" spans="11:18" x14ac:dyDescent="0.25">
      <c r="K130"/>
      <c r="L130"/>
      <c r="Q130" s="138"/>
      <c r="R130" s="138"/>
    </row>
    <row r="131" spans="11:18" x14ac:dyDescent="0.25">
      <c r="K131"/>
      <c r="L131"/>
      <c r="Q131" s="138"/>
      <c r="R131" s="138"/>
    </row>
    <row r="132" spans="11:18" x14ac:dyDescent="0.25">
      <c r="K132"/>
      <c r="L132"/>
      <c r="Q132" s="138"/>
      <c r="R132" s="138"/>
    </row>
    <row r="133" spans="11:18" x14ac:dyDescent="0.25">
      <c r="K133"/>
      <c r="L133"/>
      <c r="Q133" s="138"/>
      <c r="R133" s="138"/>
    </row>
    <row r="134" spans="11:18" x14ac:dyDescent="0.25">
      <c r="K134"/>
      <c r="L134"/>
      <c r="Q134" s="138"/>
      <c r="R134" s="138"/>
    </row>
    <row r="135" spans="11:18" x14ac:dyDescent="0.25">
      <c r="K135"/>
      <c r="L135"/>
      <c r="Q135" s="138"/>
      <c r="R135" s="138"/>
    </row>
    <row r="136" spans="11:18" x14ac:dyDescent="0.25">
      <c r="K136"/>
      <c r="L136"/>
      <c r="Q136" s="138"/>
      <c r="R136" s="138"/>
    </row>
    <row r="137" spans="11:18" x14ac:dyDescent="0.25">
      <c r="K137"/>
      <c r="L137"/>
      <c r="Q137" s="138"/>
      <c r="R137" s="138"/>
    </row>
    <row r="138" spans="11:18" x14ac:dyDescent="0.25">
      <c r="K138"/>
      <c r="L138"/>
      <c r="Q138" s="138"/>
      <c r="R138" s="138"/>
    </row>
    <row r="139" spans="11:18" x14ac:dyDescent="0.25">
      <c r="K139"/>
      <c r="L139"/>
      <c r="Q139" s="138"/>
      <c r="R139" s="138"/>
    </row>
    <row r="140" spans="11:18" x14ac:dyDescent="0.25">
      <c r="K140"/>
      <c r="L140"/>
      <c r="Q140" s="138"/>
      <c r="R140" s="138"/>
    </row>
    <row r="141" spans="11:18" x14ac:dyDescent="0.25">
      <c r="K141"/>
      <c r="L141"/>
      <c r="Q141" s="138"/>
      <c r="R141" s="138"/>
    </row>
    <row r="142" spans="11:18" x14ac:dyDescent="0.25">
      <c r="K142"/>
      <c r="L142"/>
      <c r="Q142" s="138"/>
      <c r="R142" s="138"/>
    </row>
    <row r="143" spans="11:18" x14ac:dyDescent="0.25">
      <c r="K143"/>
      <c r="L143"/>
      <c r="Q143" s="138"/>
      <c r="R143" s="138"/>
    </row>
    <row r="144" spans="11:18" x14ac:dyDescent="0.25">
      <c r="K144"/>
      <c r="L144"/>
      <c r="Q144" s="138"/>
      <c r="R144" s="138"/>
    </row>
    <row r="145" spans="11:18" x14ac:dyDescent="0.25">
      <c r="K145"/>
      <c r="L145"/>
      <c r="Q145" s="138"/>
      <c r="R145" s="138"/>
    </row>
    <row r="146" spans="11:18" x14ac:dyDescent="0.25">
      <c r="K146"/>
      <c r="L146"/>
      <c r="Q146" s="138"/>
      <c r="R146" s="138"/>
    </row>
    <row r="147" spans="11:18" x14ac:dyDescent="0.25">
      <c r="K147"/>
      <c r="L147"/>
      <c r="Q147" s="138"/>
      <c r="R147" s="138"/>
    </row>
    <row r="148" spans="11:18" x14ac:dyDescent="0.25">
      <c r="K148"/>
      <c r="L148"/>
      <c r="Q148" s="138"/>
      <c r="R148" s="138"/>
    </row>
    <row r="149" spans="11:18" x14ac:dyDescent="0.25">
      <c r="K149"/>
      <c r="L149"/>
      <c r="Q149" s="138"/>
      <c r="R149" s="138"/>
    </row>
    <row r="150" spans="11:18" x14ac:dyDescent="0.25">
      <c r="K150"/>
      <c r="L150"/>
      <c r="Q150" s="138"/>
      <c r="R150" s="138"/>
    </row>
    <row r="151" spans="11:18" x14ac:dyDescent="0.25">
      <c r="K151"/>
      <c r="L151"/>
      <c r="Q151" s="138"/>
      <c r="R151" s="138"/>
    </row>
    <row r="152" spans="11:18" x14ac:dyDescent="0.25">
      <c r="K152"/>
      <c r="L152"/>
      <c r="Q152" s="138"/>
      <c r="R152" s="138"/>
    </row>
    <row r="153" spans="11:18" x14ac:dyDescent="0.25">
      <c r="K153"/>
      <c r="L153"/>
      <c r="Q153" s="138"/>
      <c r="R153" s="138"/>
    </row>
    <row r="154" spans="11:18" x14ac:dyDescent="0.25">
      <c r="K154"/>
      <c r="L154"/>
      <c r="Q154" s="138"/>
      <c r="R154" s="138"/>
    </row>
    <row r="155" spans="11:18" x14ac:dyDescent="0.25">
      <c r="K155"/>
      <c r="L155"/>
      <c r="Q155" s="138"/>
      <c r="R155" s="138"/>
    </row>
    <row r="156" spans="11:18" x14ac:dyDescent="0.25">
      <c r="K156"/>
      <c r="L156"/>
      <c r="Q156" s="138"/>
      <c r="R156" s="138"/>
    </row>
    <row r="157" spans="11:18" x14ac:dyDescent="0.25">
      <c r="K157"/>
      <c r="L157"/>
      <c r="Q157" s="138"/>
      <c r="R157" s="138"/>
    </row>
    <row r="158" spans="11:18" x14ac:dyDescent="0.25">
      <c r="K158"/>
      <c r="L158"/>
      <c r="Q158" s="138"/>
      <c r="R158" s="138"/>
    </row>
    <row r="159" spans="11:18" x14ac:dyDescent="0.25">
      <c r="K159"/>
      <c r="L159"/>
      <c r="Q159" s="138"/>
      <c r="R159" s="138"/>
    </row>
    <row r="160" spans="11:18" x14ac:dyDescent="0.25">
      <c r="K160"/>
      <c r="L160"/>
      <c r="Q160" s="138"/>
      <c r="R160" s="138"/>
    </row>
    <row r="161" spans="11:18" x14ac:dyDescent="0.25">
      <c r="K161"/>
      <c r="L161"/>
      <c r="Q161" s="138"/>
      <c r="R161" s="138"/>
    </row>
    <row r="162" spans="11:18" x14ac:dyDescent="0.25">
      <c r="K162"/>
      <c r="L162"/>
      <c r="Q162" s="138"/>
      <c r="R162" s="138"/>
    </row>
    <row r="163" spans="11:18" x14ac:dyDescent="0.25">
      <c r="K163"/>
      <c r="L163"/>
      <c r="Q163" s="138"/>
      <c r="R163" s="138"/>
    </row>
    <row r="164" spans="11:18" x14ac:dyDescent="0.25">
      <c r="K164"/>
      <c r="L164"/>
      <c r="Q164" s="138"/>
      <c r="R164" s="138"/>
    </row>
    <row r="165" spans="11:18" x14ac:dyDescent="0.25">
      <c r="K165"/>
      <c r="L165"/>
      <c r="Q165" s="138"/>
      <c r="R165" s="138"/>
    </row>
    <row r="166" spans="11:18" x14ac:dyDescent="0.25">
      <c r="K166"/>
      <c r="L166"/>
      <c r="Q166" s="138"/>
      <c r="R166" s="138"/>
    </row>
    <row r="167" spans="11:18" x14ac:dyDescent="0.25">
      <c r="K167"/>
      <c r="L167"/>
      <c r="Q167" s="138"/>
      <c r="R167" s="138"/>
    </row>
    <row r="168" spans="11:18" x14ac:dyDescent="0.25">
      <c r="K168"/>
      <c r="L168"/>
      <c r="Q168" s="138"/>
      <c r="R168" s="138"/>
    </row>
    <row r="169" spans="11:18" x14ac:dyDescent="0.25">
      <c r="K169"/>
      <c r="L169"/>
      <c r="Q169" s="138"/>
      <c r="R169" s="138"/>
    </row>
    <row r="170" spans="11:18" x14ac:dyDescent="0.25">
      <c r="K170"/>
      <c r="L170"/>
      <c r="Q170" s="138"/>
      <c r="R170" s="138"/>
    </row>
    <row r="171" spans="11:18" x14ac:dyDescent="0.25">
      <c r="K171"/>
      <c r="L171"/>
      <c r="Q171" s="138"/>
      <c r="R171" s="138"/>
    </row>
    <row r="172" spans="11:18" x14ac:dyDescent="0.25">
      <c r="K172"/>
      <c r="L172"/>
      <c r="Q172" s="138"/>
      <c r="R172" s="138"/>
    </row>
    <row r="173" spans="11:18" x14ac:dyDescent="0.25">
      <c r="K173"/>
      <c r="L173"/>
      <c r="Q173" s="138"/>
      <c r="R173" s="138"/>
    </row>
    <row r="174" spans="11:18" x14ac:dyDescent="0.25">
      <c r="K174"/>
      <c r="L174"/>
      <c r="Q174" s="138"/>
      <c r="R174" s="138"/>
    </row>
    <row r="175" spans="11:18" x14ac:dyDescent="0.25">
      <c r="K175"/>
      <c r="L175"/>
      <c r="Q175" s="138"/>
      <c r="R175" s="138"/>
    </row>
    <row r="176" spans="11:18" x14ac:dyDescent="0.25">
      <c r="K176"/>
      <c r="L176"/>
      <c r="Q176" s="138"/>
      <c r="R176" s="138"/>
    </row>
    <row r="177" spans="11:18" x14ac:dyDescent="0.25">
      <c r="K177"/>
      <c r="L177"/>
      <c r="Q177" s="138"/>
      <c r="R177" s="138"/>
    </row>
    <row r="178" spans="11:18" x14ac:dyDescent="0.25">
      <c r="K178"/>
      <c r="L178"/>
      <c r="Q178" s="138"/>
      <c r="R178" s="138"/>
    </row>
    <row r="179" spans="11:18" x14ac:dyDescent="0.25">
      <c r="K179"/>
      <c r="L179"/>
      <c r="Q179" s="138"/>
      <c r="R179" s="138"/>
    </row>
    <row r="180" spans="11:18" x14ac:dyDescent="0.25">
      <c r="K180"/>
      <c r="L180"/>
      <c r="Q180" s="138"/>
      <c r="R180" s="138"/>
    </row>
    <row r="181" spans="11:18" x14ac:dyDescent="0.25">
      <c r="K181"/>
      <c r="L181"/>
      <c r="Q181" s="138"/>
      <c r="R181" s="138"/>
    </row>
    <row r="182" spans="11:18" x14ac:dyDescent="0.25">
      <c r="K182"/>
      <c r="L182"/>
      <c r="Q182" s="138"/>
      <c r="R182" s="138"/>
    </row>
    <row r="183" spans="11:18" x14ac:dyDescent="0.25">
      <c r="K183"/>
      <c r="L183"/>
      <c r="Q183" s="138"/>
      <c r="R183" s="138"/>
    </row>
    <row r="184" spans="11:18" x14ac:dyDescent="0.25">
      <c r="K184"/>
      <c r="L184"/>
      <c r="Q184" s="138"/>
      <c r="R184" s="138"/>
    </row>
    <row r="185" spans="11:18" x14ac:dyDescent="0.25">
      <c r="K185"/>
      <c r="L185"/>
      <c r="Q185" s="138"/>
      <c r="R185" s="138"/>
    </row>
    <row r="186" spans="11:18" x14ac:dyDescent="0.25">
      <c r="K186"/>
      <c r="L186"/>
      <c r="Q186" s="138"/>
      <c r="R186" s="138"/>
    </row>
    <row r="187" spans="11:18" x14ac:dyDescent="0.25">
      <c r="K187"/>
      <c r="L187"/>
      <c r="Q187" s="138"/>
      <c r="R187" s="138"/>
    </row>
    <row r="188" spans="11:18" x14ac:dyDescent="0.25">
      <c r="K188"/>
      <c r="L188"/>
      <c r="Q188" s="138"/>
      <c r="R188" s="138"/>
    </row>
    <row r="189" spans="11:18" x14ac:dyDescent="0.25">
      <c r="K189"/>
      <c r="L189"/>
      <c r="Q189" s="138"/>
      <c r="R189" s="138"/>
    </row>
    <row r="190" spans="11:18" x14ac:dyDescent="0.25">
      <c r="K190"/>
      <c r="L190"/>
      <c r="Q190" s="138"/>
      <c r="R190" s="138"/>
    </row>
    <row r="191" spans="11:18" x14ac:dyDescent="0.25">
      <c r="K191"/>
      <c r="L191"/>
      <c r="Q191" s="138"/>
      <c r="R191" s="138"/>
    </row>
    <row r="192" spans="11:18" x14ac:dyDescent="0.25">
      <c r="K192"/>
      <c r="L192"/>
      <c r="Q192" s="138"/>
      <c r="R192" s="138"/>
    </row>
    <row r="193" spans="11:18" x14ac:dyDescent="0.25">
      <c r="K193"/>
      <c r="L193"/>
      <c r="Q193" s="138"/>
      <c r="R193" s="138"/>
    </row>
    <row r="194" spans="11:18" x14ac:dyDescent="0.25">
      <c r="K194"/>
      <c r="L194"/>
      <c r="Q194" s="138"/>
      <c r="R194" s="138"/>
    </row>
    <row r="195" spans="11:18" x14ac:dyDescent="0.25">
      <c r="K195"/>
      <c r="L195"/>
      <c r="Q195" s="138"/>
      <c r="R195" s="138"/>
    </row>
    <row r="196" spans="11:18" x14ac:dyDescent="0.25">
      <c r="K196"/>
      <c r="L196"/>
      <c r="Q196" s="138"/>
      <c r="R196" s="138"/>
    </row>
    <row r="197" spans="11:18" x14ac:dyDescent="0.25">
      <c r="K197"/>
      <c r="L197"/>
      <c r="Q197" s="138"/>
      <c r="R197" s="138"/>
    </row>
    <row r="198" spans="11:18" x14ac:dyDescent="0.25">
      <c r="K198"/>
      <c r="L198"/>
      <c r="Q198" s="138"/>
      <c r="R198" s="138"/>
    </row>
    <row r="199" spans="11:18" x14ac:dyDescent="0.25">
      <c r="K199"/>
      <c r="L199"/>
      <c r="Q199" s="138"/>
      <c r="R199" s="138"/>
    </row>
    <row r="200" spans="11:18" x14ac:dyDescent="0.25">
      <c r="K200"/>
      <c r="L200"/>
      <c r="Q200" s="138"/>
      <c r="R200" s="138"/>
    </row>
    <row r="201" spans="11:18" x14ac:dyDescent="0.25">
      <c r="K201"/>
      <c r="L201"/>
      <c r="Q201" s="138"/>
      <c r="R201" s="138"/>
    </row>
    <row r="202" spans="11:18" x14ac:dyDescent="0.25">
      <c r="K202"/>
      <c r="L202"/>
      <c r="Q202" s="138"/>
      <c r="R202" s="138"/>
    </row>
    <row r="203" spans="11:18" x14ac:dyDescent="0.25">
      <c r="K203"/>
      <c r="L203"/>
      <c r="Q203" s="138"/>
      <c r="R203" s="138"/>
    </row>
    <row r="204" spans="11:18" x14ac:dyDescent="0.25">
      <c r="K204"/>
      <c r="L204"/>
      <c r="Q204" s="138"/>
      <c r="R204" s="138"/>
    </row>
    <row r="205" spans="11:18" x14ac:dyDescent="0.25">
      <c r="K205"/>
      <c r="L205"/>
      <c r="Q205" s="138"/>
      <c r="R205" s="138"/>
    </row>
    <row r="206" spans="11:18" x14ac:dyDescent="0.25">
      <c r="K206"/>
      <c r="L206"/>
      <c r="Q206" s="138"/>
      <c r="R206" s="138"/>
    </row>
    <row r="207" spans="11:18" x14ac:dyDescent="0.25">
      <c r="K207"/>
      <c r="L207"/>
      <c r="Q207" s="138"/>
      <c r="R207" s="138"/>
    </row>
    <row r="208" spans="11:18" x14ac:dyDescent="0.25">
      <c r="K208"/>
      <c r="L208"/>
      <c r="Q208" s="138"/>
      <c r="R208" s="138"/>
    </row>
    <row r="209" spans="11:18" x14ac:dyDescent="0.25">
      <c r="K209"/>
      <c r="L209"/>
      <c r="Q209" s="138"/>
      <c r="R209" s="138"/>
    </row>
    <row r="210" spans="11:18" x14ac:dyDescent="0.25">
      <c r="K210"/>
      <c r="L210"/>
      <c r="Q210" s="138"/>
      <c r="R210" s="138"/>
    </row>
    <row r="211" spans="11:18" x14ac:dyDescent="0.25">
      <c r="K211"/>
      <c r="L211"/>
      <c r="Q211" s="138"/>
      <c r="R211" s="138"/>
    </row>
    <row r="212" spans="11:18" x14ac:dyDescent="0.25">
      <c r="K212"/>
      <c r="L212"/>
      <c r="Q212" s="138"/>
      <c r="R212" s="138"/>
    </row>
    <row r="213" spans="11:18" x14ac:dyDescent="0.25">
      <c r="K213"/>
      <c r="L213"/>
      <c r="Q213" s="138"/>
      <c r="R213" s="138"/>
    </row>
    <row r="214" spans="11:18" x14ac:dyDescent="0.25">
      <c r="K214"/>
      <c r="L214"/>
      <c r="Q214" s="138"/>
      <c r="R214" s="138"/>
    </row>
    <row r="215" spans="11:18" x14ac:dyDescent="0.25">
      <c r="K215"/>
      <c r="L215"/>
      <c r="Q215" s="138"/>
      <c r="R215" s="138"/>
    </row>
    <row r="216" spans="11:18" x14ac:dyDescent="0.25">
      <c r="K216"/>
      <c r="L216"/>
      <c r="Q216" s="138"/>
      <c r="R216" s="138"/>
    </row>
    <row r="217" spans="11:18" x14ac:dyDescent="0.25">
      <c r="K217"/>
      <c r="L217"/>
      <c r="Q217" s="138"/>
      <c r="R217" s="138"/>
    </row>
    <row r="218" spans="11:18" x14ac:dyDescent="0.25">
      <c r="K218"/>
      <c r="L218"/>
      <c r="Q218" s="138"/>
      <c r="R218" s="138"/>
    </row>
    <row r="219" spans="11:18" x14ac:dyDescent="0.25">
      <c r="K219"/>
      <c r="L219"/>
      <c r="Q219" s="138"/>
      <c r="R219" s="138"/>
    </row>
    <row r="220" spans="11:18" x14ac:dyDescent="0.25">
      <c r="K220"/>
      <c r="L220"/>
      <c r="Q220" s="138"/>
      <c r="R220" s="138"/>
    </row>
    <row r="221" spans="11:18" x14ac:dyDescent="0.25">
      <c r="K221"/>
      <c r="L221"/>
      <c r="Q221" s="138"/>
      <c r="R221" s="138"/>
    </row>
    <row r="222" spans="11:18" x14ac:dyDescent="0.25">
      <c r="K222"/>
      <c r="L222"/>
      <c r="Q222" s="138"/>
      <c r="R222" s="138"/>
    </row>
    <row r="223" spans="11:18" x14ac:dyDescent="0.25">
      <c r="K223"/>
      <c r="L223"/>
      <c r="Q223" s="138"/>
      <c r="R223" s="138"/>
    </row>
    <row r="224" spans="11:18" x14ac:dyDescent="0.25">
      <c r="K224"/>
      <c r="L224"/>
      <c r="Q224" s="138"/>
      <c r="R224" s="138"/>
    </row>
    <row r="225" spans="11:18" x14ac:dyDescent="0.25">
      <c r="K225"/>
      <c r="L225"/>
      <c r="Q225" s="138"/>
      <c r="R225" s="138"/>
    </row>
    <row r="226" spans="11:18" x14ac:dyDescent="0.25">
      <c r="K226"/>
      <c r="L226"/>
      <c r="Q226" s="138"/>
      <c r="R226" s="138"/>
    </row>
    <row r="227" spans="11:18" x14ac:dyDescent="0.25">
      <c r="K227"/>
      <c r="L227"/>
      <c r="Q227" s="138"/>
      <c r="R227" s="138"/>
    </row>
    <row r="228" spans="11:18" x14ac:dyDescent="0.25">
      <c r="K228"/>
      <c r="L228"/>
      <c r="Q228" s="138"/>
      <c r="R228" s="138"/>
    </row>
    <row r="229" spans="11:18" x14ac:dyDescent="0.25">
      <c r="K229"/>
      <c r="L229"/>
      <c r="Q229" s="138"/>
      <c r="R229" s="138"/>
    </row>
    <row r="230" spans="11:18" x14ac:dyDescent="0.25">
      <c r="K230"/>
      <c r="L230"/>
      <c r="Q230" s="138"/>
      <c r="R230" s="138"/>
    </row>
    <row r="231" spans="11:18" x14ac:dyDescent="0.25">
      <c r="K231"/>
      <c r="L231"/>
      <c r="Q231" s="138"/>
      <c r="R231" s="138"/>
    </row>
    <row r="232" spans="11:18" x14ac:dyDescent="0.25">
      <c r="K232"/>
      <c r="L232"/>
      <c r="Q232" s="138"/>
      <c r="R232" s="138"/>
    </row>
    <row r="233" spans="11:18" x14ac:dyDescent="0.25">
      <c r="K233"/>
      <c r="L233"/>
      <c r="Q233" s="138"/>
      <c r="R233" s="138"/>
    </row>
    <row r="234" spans="11:18" x14ac:dyDescent="0.25">
      <c r="K234"/>
      <c r="L234"/>
      <c r="Q234" s="138"/>
      <c r="R234" s="138"/>
    </row>
    <row r="235" spans="11:18" x14ac:dyDescent="0.25">
      <c r="K235"/>
      <c r="L235"/>
      <c r="Q235" s="138"/>
      <c r="R235" s="138"/>
    </row>
    <row r="236" spans="11:18" x14ac:dyDescent="0.25">
      <c r="K236"/>
      <c r="L236"/>
      <c r="Q236" s="138"/>
      <c r="R236" s="138"/>
    </row>
    <row r="237" spans="11:18" x14ac:dyDescent="0.25">
      <c r="K237"/>
      <c r="L237"/>
      <c r="Q237" s="138"/>
      <c r="R237" s="138"/>
    </row>
    <row r="238" spans="11:18" x14ac:dyDescent="0.25">
      <c r="K238"/>
      <c r="L238"/>
      <c r="Q238" s="138"/>
      <c r="R238" s="138"/>
    </row>
    <row r="239" spans="11:18" x14ac:dyDescent="0.25">
      <c r="K239"/>
      <c r="L239"/>
      <c r="Q239" s="138"/>
      <c r="R239" s="138"/>
    </row>
    <row r="240" spans="11:18" x14ac:dyDescent="0.25">
      <c r="K240"/>
      <c r="L240"/>
      <c r="Q240" s="138"/>
      <c r="R240" s="138"/>
    </row>
    <row r="241" spans="11:18" x14ac:dyDescent="0.25">
      <c r="K241"/>
      <c r="L241"/>
      <c r="Q241" s="138"/>
      <c r="R241" s="138"/>
    </row>
    <row r="242" spans="11:18" x14ac:dyDescent="0.25">
      <c r="K242"/>
      <c r="L242"/>
      <c r="Q242" s="138"/>
      <c r="R242" s="138"/>
    </row>
    <row r="243" spans="11:18" x14ac:dyDescent="0.25">
      <c r="K243"/>
      <c r="L243"/>
      <c r="Q243" s="138"/>
      <c r="R243" s="138"/>
    </row>
    <row r="244" spans="11:18" x14ac:dyDescent="0.25">
      <c r="K244"/>
      <c r="L244"/>
      <c r="Q244" s="138"/>
      <c r="R244" s="138"/>
    </row>
  </sheetData>
  <mergeCells count="3">
    <mergeCell ref="H74:I74"/>
    <mergeCell ref="H70:I70"/>
    <mergeCell ref="H76:I7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60"/>
  <sheetViews>
    <sheetView topLeftCell="C1" workbookViewId="0">
      <selection activeCell="D18" sqref="D18"/>
    </sheetView>
  </sheetViews>
  <sheetFormatPr defaultRowHeight="15" x14ac:dyDescent="0.25"/>
  <cols>
    <col min="1" max="1" width="2.85546875" style="138" customWidth="1"/>
    <col min="2" max="2" width="41.28515625" style="138" bestFit="1" customWidth="1"/>
    <col min="3" max="3" width="19.7109375" style="138" bestFit="1" customWidth="1"/>
    <col min="4" max="4" width="49.5703125" style="138" bestFit="1" customWidth="1"/>
    <col min="5" max="5" width="30.28515625" style="138" bestFit="1" customWidth="1"/>
    <col min="6" max="6" width="24.28515625" style="138" bestFit="1" customWidth="1"/>
    <col min="7" max="7" width="25.28515625" style="138" bestFit="1" customWidth="1"/>
    <col min="8" max="8" width="33.42578125" style="138" bestFit="1" customWidth="1"/>
    <col min="9" max="9" width="21.5703125" style="138" bestFit="1" customWidth="1"/>
    <col min="10" max="10" width="38.42578125" style="138" bestFit="1" customWidth="1"/>
    <col min="11" max="11" width="33.42578125" style="138" bestFit="1" customWidth="1"/>
    <col min="12" max="12" width="38.42578125" style="138" bestFit="1" customWidth="1"/>
    <col min="13" max="16384" width="9.140625" style="138"/>
  </cols>
  <sheetData>
    <row r="2" spans="2:12" s="155" customFormat="1" ht="15.75" thickBot="1" x14ac:dyDescent="0.3">
      <c r="B2" s="155" t="s">
        <v>29</v>
      </c>
      <c r="K2" s="155">
        <v>25</v>
      </c>
    </row>
    <row r="3" spans="2:12" x14ac:dyDescent="0.25">
      <c r="B3" s="50" t="s">
        <v>30</v>
      </c>
      <c r="C3" s="51" t="s">
        <v>31</v>
      </c>
      <c r="D3" s="51" t="s">
        <v>32</v>
      </c>
      <c r="E3" s="51" t="s">
        <v>202</v>
      </c>
      <c r="F3" s="51" t="s">
        <v>208</v>
      </c>
      <c r="G3" s="51" t="s">
        <v>210</v>
      </c>
      <c r="H3" s="51" t="s">
        <v>196</v>
      </c>
      <c r="I3" s="51" t="s">
        <v>33</v>
      </c>
      <c r="J3" s="52" t="s">
        <v>34</v>
      </c>
      <c r="K3" s="167" t="s">
        <v>35</v>
      </c>
    </row>
    <row r="4" spans="2:12" x14ac:dyDescent="0.25">
      <c r="B4" s="174" t="s">
        <v>36</v>
      </c>
      <c r="C4" s="54">
        <f>21.98-14.68</f>
        <v>7.3000000000000007</v>
      </c>
      <c r="D4" s="54">
        <f>21</f>
        <v>21</v>
      </c>
      <c r="E4" s="54">
        <f>D4</f>
        <v>21</v>
      </c>
      <c r="F4" s="54">
        <v>10.7</v>
      </c>
      <c r="G4" s="54">
        <f>D4</f>
        <v>21</v>
      </c>
      <c r="H4" s="54">
        <v>12</v>
      </c>
      <c r="I4" s="55">
        <f>SUMPRODUCT(C4:H4,$C$6:$H$6)/($I$6)</f>
        <v>11.424400806972045</v>
      </c>
      <c r="J4" s="176"/>
      <c r="K4" s="160">
        <f>K2*CONVERT($I$4,"in","m")</f>
        <v>7.2544945124272493</v>
      </c>
      <c r="L4" s="138" t="s">
        <v>10</v>
      </c>
    </row>
    <row r="5" spans="2:12" x14ac:dyDescent="0.25">
      <c r="B5" s="174" t="s">
        <v>37</v>
      </c>
      <c r="C5" s="54">
        <v>0</v>
      </c>
      <c r="D5" s="57">
        <f>CONVERT(53.3,"mm","in")</f>
        <v>2.0984251968503935</v>
      </c>
      <c r="E5" s="54">
        <f>D5</f>
        <v>2.0984251968503935</v>
      </c>
      <c r="F5" s="54">
        <f>6.77/2</f>
        <v>3.3849999999999998</v>
      </c>
      <c r="G5" s="54">
        <f>D5</f>
        <v>2.0984251968503935</v>
      </c>
      <c r="H5" s="57">
        <f>H12</f>
        <v>-5.8908702952337295</v>
      </c>
      <c r="I5" s="58">
        <f>SUMPRODUCT(C5:H5,$C$6:$H$6)/($I$6)</f>
        <v>0.67763231726330886</v>
      </c>
      <c r="J5" s="176"/>
      <c r="K5" s="160">
        <f>K2*CONVERT($I$5,"in","m")</f>
        <v>0.4302965214622011</v>
      </c>
      <c r="L5" s="138" t="s">
        <v>10</v>
      </c>
    </row>
    <row r="6" spans="2:12" ht="15.75" thickBot="1" x14ac:dyDescent="0.3">
      <c r="B6" s="174" t="s">
        <v>30</v>
      </c>
      <c r="C6" s="57">
        <v>31.86</v>
      </c>
      <c r="D6" s="165">
        <v>11.38</v>
      </c>
      <c r="E6" s="165">
        <f>'Wet Weights'!E36/2</f>
        <v>0.4938347220075176</v>
      </c>
      <c r="F6" s="165">
        <f>'Wet Weights'!E24/2</f>
        <v>0.8496459733863323</v>
      </c>
      <c r="G6" s="165">
        <f>'Wet Weights'!E4/2</f>
        <v>1.9104715458769521</v>
      </c>
      <c r="H6" s="165">
        <v>4.4999999999999998E-2</v>
      </c>
      <c r="I6" s="60">
        <f>SUM(C6:H6)</f>
        <v>46.538952241270806</v>
      </c>
      <c r="J6" s="176"/>
      <c r="K6" s="160">
        <f>K2^3*CONVERT(($I$6)*2,"lbf","kN")</f>
        <v>6469.2366659749032</v>
      </c>
      <c r="L6" s="138" t="s">
        <v>38</v>
      </c>
    </row>
    <row r="7" spans="2:12" x14ac:dyDescent="0.25">
      <c r="B7" s="172"/>
      <c r="C7" s="61"/>
      <c r="D7" s="62">
        <v>10.45</v>
      </c>
      <c r="E7" s="62"/>
      <c r="F7" s="62"/>
      <c r="G7" s="62"/>
      <c r="H7" s="62"/>
      <c r="I7" s="172"/>
      <c r="J7" s="172"/>
      <c r="K7" s="160"/>
    </row>
    <row r="8" spans="2:12" x14ac:dyDescent="0.25">
      <c r="B8" s="179"/>
      <c r="C8" s="64"/>
      <c r="D8" s="64"/>
      <c r="E8" s="64"/>
      <c r="F8" s="64"/>
      <c r="G8" s="64"/>
      <c r="H8" s="64"/>
      <c r="I8" s="65">
        <f>I15-I14</f>
        <v>1.5848514587538602</v>
      </c>
      <c r="J8" s="150" t="s">
        <v>39</v>
      </c>
      <c r="K8" s="160" t="s">
        <v>40</v>
      </c>
    </row>
    <row r="9" spans="2:12" ht="15.75" thickBot="1" x14ac:dyDescent="0.3">
      <c r="B9" s="19"/>
      <c r="C9" s="66"/>
      <c r="D9" s="19"/>
      <c r="E9" s="19"/>
      <c r="F9" s="19"/>
      <c r="G9" s="19"/>
      <c r="H9" s="19"/>
      <c r="I9" s="19"/>
      <c r="J9" s="19"/>
      <c r="K9" s="160"/>
    </row>
    <row r="10" spans="2:12" x14ac:dyDescent="0.25">
      <c r="B10" s="50" t="s">
        <v>41</v>
      </c>
      <c r="C10" s="67" t="s">
        <v>42</v>
      </c>
      <c r="D10" s="51" t="s">
        <v>43</v>
      </c>
      <c r="E10" s="51" t="s">
        <v>201</v>
      </c>
      <c r="F10" s="51" t="s">
        <v>209</v>
      </c>
      <c r="G10" s="51" t="s">
        <v>211</v>
      </c>
      <c r="H10" s="51" t="s">
        <v>197</v>
      </c>
      <c r="I10" s="51" t="s">
        <v>44</v>
      </c>
      <c r="J10" s="173"/>
      <c r="K10" s="160"/>
    </row>
    <row r="11" spans="2:12" x14ac:dyDescent="0.25">
      <c r="B11" s="174" t="s">
        <v>36</v>
      </c>
      <c r="C11" s="54">
        <f>21.98-12.81</f>
        <v>9.17</v>
      </c>
      <c r="D11" s="54">
        <v>21</v>
      </c>
      <c r="E11" s="54">
        <f>E4</f>
        <v>21</v>
      </c>
      <c r="F11" s="54">
        <v>10.7</v>
      </c>
      <c r="G11" s="54">
        <f>G4</f>
        <v>21</v>
      </c>
      <c r="H11" s="54">
        <f>H4</f>
        <v>12</v>
      </c>
      <c r="I11" s="55">
        <f>SUMPRODUCT(C11:H11,$C$13:$H$13)/($I$13)</f>
        <v>11.001383649861634</v>
      </c>
      <c r="J11" s="176"/>
      <c r="K11" s="160">
        <f>K2*CONVERT($I$11,"in","m")</f>
        <v>6.9858786176621379</v>
      </c>
      <c r="L11" s="138" t="s">
        <v>10</v>
      </c>
    </row>
    <row r="12" spans="2:12" x14ac:dyDescent="0.25">
      <c r="B12" s="174" t="s">
        <v>37</v>
      </c>
      <c r="C12" s="54">
        <v>0</v>
      </c>
      <c r="D12" s="157">
        <v>2.1</v>
      </c>
      <c r="E12" s="54">
        <f>E5</f>
        <v>2.0984251968503935</v>
      </c>
      <c r="F12" s="54">
        <f>F5</f>
        <v>3.3849999999999998</v>
      </c>
      <c r="G12" s="54">
        <f>G5</f>
        <v>2.0984251968503935</v>
      </c>
      <c r="H12" s="54">
        <f>-6.77/2-I21/2</f>
        <v>-5.8908702952337295</v>
      </c>
      <c r="I12" s="58">
        <f>SUMPRODUCT(C12:H12,$C$13:$H$13)/($I$13)</f>
        <v>-1.2381108040356865</v>
      </c>
      <c r="J12" s="176"/>
      <c r="K12" s="160">
        <f>K2*CONVERT($I$12,"in","m")</f>
        <v>-0.78620036056266107</v>
      </c>
      <c r="L12" s="138" t="s">
        <v>10</v>
      </c>
    </row>
    <row r="13" spans="2:12" ht="15.75" thickBot="1" x14ac:dyDescent="0.3">
      <c r="B13" s="177" t="s">
        <v>45</v>
      </c>
      <c r="C13" s="69">
        <v>-33.01</v>
      </c>
      <c r="D13" s="70">
        <f>-0.102*62.4/2</f>
        <v>-3.1823999999999999</v>
      </c>
      <c r="E13" s="70">
        <f>-'Wet Weights'!E38/2</f>
        <v>-0.20742289789952512</v>
      </c>
      <c r="F13" s="70">
        <f>-'Wet Weights'!E26/2</f>
        <v>-0.15906120576258698</v>
      </c>
      <c r="G13" s="70">
        <f>-'Wet Weights'!E7/2</f>
        <v>-1.4232805807288078</v>
      </c>
      <c r="H13" s="70">
        <f>-C47</f>
        <v>-12.394687499999998</v>
      </c>
      <c r="I13" s="71">
        <f>SUM(C13:H13)</f>
        <v>-50.37685218439092</v>
      </c>
      <c r="J13" s="178"/>
      <c r="K13" s="160">
        <f>K2^3*CONVERT(($I$13)*2,"lbf","kN")</f>
        <v>-7002.7313373559637</v>
      </c>
      <c r="L13" s="138" t="s">
        <v>38</v>
      </c>
    </row>
    <row r="14" spans="2:12" x14ac:dyDescent="0.25">
      <c r="B14" s="174" t="s">
        <v>46</v>
      </c>
      <c r="C14" s="150"/>
      <c r="D14" s="150"/>
      <c r="E14" s="150"/>
      <c r="F14" s="150"/>
      <c r="G14" s="150"/>
      <c r="H14" s="150"/>
      <c r="I14" s="72">
        <f>-E56</f>
        <v>-5.422751401873974</v>
      </c>
      <c r="J14" s="176"/>
    </row>
    <row r="15" spans="2:12" ht="15.75" thickBot="1" x14ac:dyDescent="0.3">
      <c r="B15" s="177" t="s">
        <v>47</v>
      </c>
      <c r="C15" s="73">
        <f>C13+C6</f>
        <v>-1.1499999999999986</v>
      </c>
      <c r="D15" s="19"/>
      <c r="E15" s="19"/>
      <c r="F15" s="19"/>
      <c r="G15" s="19"/>
      <c r="H15" s="19"/>
      <c r="I15" s="74">
        <f>I13+I6</f>
        <v>-3.8378999431201137</v>
      </c>
      <c r="J15" s="178"/>
      <c r="K15" s="160">
        <f>K2^3*CONVERT(($I$15)*2,"lbf","kN")</f>
        <v>-533.49467138106036</v>
      </c>
      <c r="L15" s="138" t="s">
        <v>38</v>
      </c>
    </row>
    <row r="16" spans="2:12" ht="15.75" thickBot="1" x14ac:dyDescent="0.3"/>
    <row r="17" spans="2:11" x14ac:dyDescent="0.25">
      <c r="B17" s="166"/>
      <c r="E17" s="238"/>
      <c r="F17" s="238"/>
      <c r="G17" s="238"/>
      <c r="I17" s="155" t="s">
        <v>48</v>
      </c>
      <c r="K17" s="75" t="s">
        <v>49</v>
      </c>
    </row>
    <row r="18" spans="2:11" x14ac:dyDescent="0.25">
      <c r="D18" s="156"/>
      <c r="E18" s="64"/>
      <c r="F18" s="64"/>
      <c r="G18" s="238"/>
      <c r="H18" s="156">
        <f>12^3*((-H13)/62.4)</f>
        <v>343.23749999999995</v>
      </c>
      <c r="I18" s="138">
        <v>434</v>
      </c>
      <c r="J18" s="138" t="s">
        <v>203</v>
      </c>
      <c r="K18" s="77">
        <v>20.8</v>
      </c>
    </row>
    <row r="19" spans="2:11" x14ac:dyDescent="0.25">
      <c r="E19" s="64"/>
      <c r="F19" s="64"/>
      <c r="G19" s="238"/>
      <c r="H19" s="156">
        <v>22</v>
      </c>
      <c r="I19" s="156">
        <v>22</v>
      </c>
      <c r="J19" s="138" t="s">
        <v>104</v>
      </c>
      <c r="K19" s="77" t="s">
        <v>50</v>
      </c>
    </row>
    <row r="20" spans="2:11" ht="15.75" thickBot="1" x14ac:dyDescent="0.3">
      <c r="G20" s="238"/>
      <c r="H20" s="156">
        <f>H18/H19</f>
        <v>15.601704545454544</v>
      </c>
      <c r="I20" s="156">
        <f>I18/I19</f>
        <v>19.727272727272727</v>
      </c>
      <c r="J20" s="138" t="s">
        <v>51</v>
      </c>
      <c r="K20" s="78">
        <f>K18/I15</f>
        <v>-5.4196306074332243</v>
      </c>
    </row>
    <row r="21" spans="2:11" x14ac:dyDescent="0.25">
      <c r="E21" s="156"/>
      <c r="F21" s="156"/>
      <c r="G21" s="238"/>
      <c r="H21" s="156">
        <f>2*SQRT(H20/PI())</f>
        <v>4.4569840915743759</v>
      </c>
      <c r="I21" s="156">
        <f>2*SQRT(I20/PI())</f>
        <v>5.0117405904674595</v>
      </c>
      <c r="J21" s="138" t="s">
        <v>52</v>
      </c>
    </row>
    <row r="22" spans="2:11" x14ac:dyDescent="0.25">
      <c r="D22" s="156"/>
      <c r="G22" s="238"/>
      <c r="H22" s="156">
        <f>SQRT(H20)</f>
        <v>3.9498993082678124</v>
      </c>
      <c r="I22" s="156">
        <f>SQRT(I20)</f>
        <v>4.4415394546567661</v>
      </c>
      <c r="J22" s="138" t="s">
        <v>200</v>
      </c>
    </row>
    <row r="23" spans="2:11" x14ac:dyDescent="0.25">
      <c r="J23" s="167"/>
    </row>
    <row r="24" spans="2:11" x14ac:dyDescent="0.25">
      <c r="H24" s="156">
        <f>2*((H18-C46)/12^3)*62.4</f>
        <v>0</v>
      </c>
      <c r="I24" s="156">
        <f>2*((I18-C46)/12^3)*62.4</f>
        <v>6.5550694444444479</v>
      </c>
      <c r="J24" s="151" t="s">
        <v>205</v>
      </c>
    </row>
    <row r="25" spans="2:11" x14ac:dyDescent="0.25">
      <c r="H25" s="151" t="s">
        <v>206</v>
      </c>
      <c r="I25" s="151" t="s">
        <v>204</v>
      </c>
    </row>
    <row r="26" spans="2:11" x14ac:dyDescent="0.25">
      <c r="B26" s="155" t="s">
        <v>103</v>
      </c>
      <c r="I26" s="138" t="s">
        <v>216</v>
      </c>
    </row>
    <row r="27" spans="2:11" x14ac:dyDescent="0.25">
      <c r="C27" s="155" t="s">
        <v>101</v>
      </c>
    </row>
    <row r="29" spans="2:11" x14ac:dyDescent="0.25">
      <c r="C29" s="160">
        <f>-I15*2</f>
        <v>7.6757998862402275</v>
      </c>
      <c r="D29" s="79" t="s">
        <v>58</v>
      </c>
    </row>
    <row r="30" spans="2:11" x14ac:dyDescent="0.25">
      <c r="C30" s="160">
        <f>19.7*0.868</f>
        <v>17.099599999999999</v>
      </c>
      <c r="D30" s="79" t="s">
        <v>59</v>
      </c>
    </row>
    <row r="32" spans="2:11" x14ac:dyDescent="0.25">
      <c r="B32" s="113" t="s">
        <v>61</v>
      </c>
      <c r="C32" s="113" t="s">
        <v>62</v>
      </c>
    </row>
    <row r="33" spans="2:4" x14ac:dyDescent="0.25">
      <c r="B33" s="138">
        <v>4.5</v>
      </c>
      <c r="C33" s="160">
        <v>4.5</v>
      </c>
      <c r="D33" s="79" t="s">
        <v>63</v>
      </c>
    </row>
    <row r="34" spans="2:4" x14ac:dyDescent="0.25">
      <c r="B34" s="138">
        <v>4.5</v>
      </c>
      <c r="C34" s="160">
        <v>4.5</v>
      </c>
      <c r="D34" s="139" t="s">
        <v>64</v>
      </c>
    </row>
    <row r="35" spans="2:4" x14ac:dyDescent="0.25">
      <c r="B35" s="138">
        <f>21+(7/16)</f>
        <v>21.4375</v>
      </c>
      <c r="C35" s="158">
        <v>17.155555555555551</v>
      </c>
      <c r="D35" s="79" t="s">
        <v>66</v>
      </c>
    </row>
    <row r="36" spans="2:4" x14ac:dyDescent="0.25">
      <c r="C36" s="86">
        <f>2*(C33*C34*C35)/(12*12*12)*62.4</f>
        <v>25.089999999999993</v>
      </c>
      <c r="D36" s="79" t="s">
        <v>67</v>
      </c>
    </row>
    <row r="37" spans="2:4" x14ac:dyDescent="0.25">
      <c r="C37" s="160">
        <f>(2*(B33*B34*B35)/(12*12*12)*62.4)-(C30-C29)</f>
        <v>21.928543636240228</v>
      </c>
      <c r="D37" s="79" t="s">
        <v>69</v>
      </c>
    </row>
    <row r="39" spans="2:4" x14ac:dyDescent="0.25">
      <c r="C39" s="160">
        <f>-2*H13</f>
        <v>24.789374999999996</v>
      </c>
      <c r="D39" s="138" t="s">
        <v>70</v>
      </c>
    </row>
    <row r="40" spans="2:4" x14ac:dyDescent="0.25">
      <c r="C40" s="160">
        <f>C39-C37</f>
        <v>2.8608313637597682</v>
      </c>
      <c r="D40" s="79" t="s">
        <v>71</v>
      </c>
    </row>
    <row r="42" spans="2:4" x14ac:dyDescent="0.25">
      <c r="C42" s="155" t="s">
        <v>102</v>
      </c>
    </row>
    <row r="43" spans="2:4" x14ac:dyDescent="0.25">
      <c r="C43" s="138">
        <v>16.95</v>
      </c>
      <c r="D43" s="138" t="s">
        <v>96</v>
      </c>
    </row>
    <row r="44" spans="2:4" x14ac:dyDescent="0.25">
      <c r="C44" s="138">
        <v>4.5</v>
      </c>
      <c r="D44" s="138" t="s">
        <v>97</v>
      </c>
    </row>
    <row r="45" spans="2:4" x14ac:dyDescent="0.25">
      <c r="C45" s="138">
        <v>4.5</v>
      </c>
      <c r="D45" s="138" t="s">
        <v>98</v>
      </c>
    </row>
    <row r="46" spans="2:4" x14ac:dyDescent="0.25">
      <c r="C46" s="156">
        <f>C43*C44*C45</f>
        <v>343.23749999999995</v>
      </c>
      <c r="D46" s="138" t="s">
        <v>198</v>
      </c>
    </row>
    <row r="47" spans="2:4" x14ac:dyDescent="0.25">
      <c r="C47" s="156">
        <f>62.4*(C46/12^3)</f>
        <v>12.394687499999998</v>
      </c>
      <c r="D47" s="138" t="s">
        <v>45</v>
      </c>
    </row>
    <row r="48" spans="2:4" x14ac:dyDescent="0.25">
      <c r="C48" s="138">
        <v>4.4999999999999998E-2</v>
      </c>
      <c r="D48" s="138" t="s">
        <v>99</v>
      </c>
    </row>
    <row r="49" spans="2:7" x14ac:dyDescent="0.25">
      <c r="C49" s="138">
        <v>4.3999999999999997E-2</v>
      </c>
      <c r="D49" s="138" t="s">
        <v>100</v>
      </c>
    </row>
    <row r="50" spans="2:7" ht="15.75" thickBot="1" x14ac:dyDescent="0.3"/>
    <row r="51" spans="2:7" x14ac:dyDescent="0.25">
      <c r="B51" s="50" t="s">
        <v>53</v>
      </c>
      <c r="C51" s="51" t="s">
        <v>54</v>
      </c>
      <c r="D51" s="51" t="s">
        <v>55</v>
      </c>
      <c r="E51" s="52" t="s">
        <v>56</v>
      </c>
      <c r="F51" s="179"/>
      <c r="G51" s="179"/>
    </row>
    <row r="52" spans="2:7" x14ac:dyDescent="0.25">
      <c r="B52" s="174" t="s">
        <v>57</v>
      </c>
      <c r="C52" s="64">
        <v>4866</v>
      </c>
      <c r="D52" s="64">
        <f>CONVERT((C52/25^3)/2,"kN","lbf")</f>
        <v>35.005450147942113</v>
      </c>
      <c r="E52" s="169"/>
      <c r="F52" s="64"/>
      <c r="G52" s="64"/>
    </row>
    <row r="53" spans="2:7" x14ac:dyDescent="0.25">
      <c r="B53" s="174" t="s">
        <v>41</v>
      </c>
      <c r="C53" s="64">
        <v>6001</v>
      </c>
      <c r="D53" s="64">
        <f>CONVERT((C53/25^3)/2,"kN","lbf")</f>
        <v>43.1705109613236</v>
      </c>
      <c r="E53" s="169">
        <f>D53-D52</f>
        <v>8.165060813381487</v>
      </c>
      <c r="F53" s="64"/>
      <c r="G53" s="64"/>
    </row>
    <row r="54" spans="2:7" x14ac:dyDescent="0.25">
      <c r="B54" s="80" t="s">
        <v>60</v>
      </c>
      <c r="C54" s="81" t="s">
        <v>54</v>
      </c>
      <c r="D54" s="81" t="s">
        <v>55</v>
      </c>
      <c r="E54" s="82" t="s">
        <v>56</v>
      </c>
      <c r="F54" s="81"/>
      <c r="G54" s="81"/>
    </row>
    <row r="55" spans="2:7" x14ac:dyDescent="0.25">
      <c r="B55" s="174" t="s">
        <v>57</v>
      </c>
      <c r="C55" s="83">
        <f>2423.1*2</f>
        <v>4846.2</v>
      </c>
      <c r="D55" s="64">
        <f>CONVERT((C55/25^3)/2,"kN","lbf")</f>
        <v>34.863011201594141</v>
      </c>
      <c r="E55" s="169"/>
      <c r="F55" s="64"/>
      <c r="G55" s="64"/>
    </row>
    <row r="56" spans="2:7" ht="15.75" thickBot="1" x14ac:dyDescent="0.3">
      <c r="B56" s="177" t="s">
        <v>41</v>
      </c>
      <c r="C56" s="84">
        <v>5600</v>
      </c>
      <c r="D56" s="66">
        <f>CONVERT((C56/25^3)/2,"kN","lbf")</f>
        <v>40.285762603468115</v>
      </c>
      <c r="E56" s="170">
        <f>D56-D55</f>
        <v>5.422751401873974</v>
      </c>
      <c r="F56" s="64"/>
      <c r="G56" s="64"/>
    </row>
    <row r="57" spans="2:7" x14ac:dyDescent="0.25">
      <c r="E57" s="139"/>
      <c r="F57" s="139"/>
      <c r="G57" s="139"/>
    </row>
    <row r="58" spans="2:7" x14ac:dyDescent="0.25">
      <c r="B58" s="138" t="s">
        <v>65</v>
      </c>
      <c r="C58" s="138">
        <v>6873</v>
      </c>
    </row>
    <row r="59" spans="2:7" x14ac:dyDescent="0.25">
      <c r="C59" s="138">
        <v>7627</v>
      </c>
    </row>
    <row r="60" spans="2:7" x14ac:dyDescent="0.25">
      <c r="C60" s="156">
        <f>CONVERT(C58*(1/25)^3,"kN","lbf")/2</f>
        <v>49.443579709577932</v>
      </c>
      <c r="D60" s="138" t="s">
        <v>68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64"/>
  <sheetViews>
    <sheetView topLeftCell="C1" zoomScale="85" zoomScaleNormal="85" workbookViewId="0">
      <selection activeCell="F24" sqref="F24"/>
    </sheetView>
  </sheetViews>
  <sheetFormatPr defaultRowHeight="15" x14ac:dyDescent="0.25"/>
  <cols>
    <col min="1" max="1" width="2.85546875" style="20" customWidth="1"/>
    <col min="2" max="2" width="41.28515625" style="20" bestFit="1" customWidth="1"/>
    <col min="3" max="3" width="19.7109375" style="20" bestFit="1" customWidth="1"/>
    <col min="4" max="4" width="49.5703125" style="20" bestFit="1" customWidth="1"/>
    <col min="5" max="5" width="30.28515625" style="20" bestFit="1" customWidth="1"/>
    <col min="6" max="6" width="24.28515625" style="138" bestFit="1" customWidth="1"/>
    <col min="7" max="7" width="25.28515625" style="138" bestFit="1" customWidth="1"/>
    <col min="8" max="8" width="25.28515625" style="239" customWidth="1"/>
    <col min="9" max="9" width="33.42578125" style="20" bestFit="1" customWidth="1"/>
    <col min="10" max="10" width="21.5703125" style="20" bestFit="1" customWidth="1"/>
    <col min="11" max="11" width="38.42578125" style="20" bestFit="1" customWidth="1"/>
    <col min="12" max="12" width="33.42578125" style="20" bestFit="1" customWidth="1"/>
    <col min="13" max="13" width="38.42578125" style="20" bestFit="1" customWidth="1"/>
    <col min="14" max="16384" width="9.140625" style="20"/>
  </cols>
  <sheetData>
    <row r="1" spans="2:17" x14ac:dyDescent="0.25">
      <c r="L1" s="155" t="s">
        <v>289</v>
      </c>
    </row>
    <row r="2" spans="2:17" s="32" customFormat="1" ht="15.75" thickBot="1" x14ac:dyDescent="0.3">
      <c r="B2" s="32" t="s">
        <v>29</v>
      </c>
      <c r="F2" s="155"/>
      <c r="G2" s="155"/>
      <c r="H2" s="155"/>
      <c r="L2" s="32">
        <v>1</v>
      </c>
    </row>
    <row r="3" spans="2:17" x14ac:dyDescent="0.25">
      <c r="B3" s="50" t="s">
        <v>30</v>
      </c>
      <c r="C3" s="51" t="s">
        <v>31</v>
      </c>
      <c r="D3" s="51" t="s">
        <v>32</v>
      </c>
      <c r="E3" s="51" t="s">
        <v>202</v>
      </c>
      <c r="F3" s="51" t="s">
        <v>208</v>
      </c>
      <c r="G3" s="51" t="s">
        <v>210</v>
      </c>
      <c r="H3" s="51" t="s">
        <v>277</v>
      </c>
      <c r="I3" s="51" t="s">
        <v>196</v>
      </c>
      <c r="J3" s="51" t="s">
        <v>33</v>
      </c>
      <c r="K3" s="52" t="s">
        <v>34</v>
      </c>
      <c r="L3" s="53" t="s">
        <v>288</v>
      </c>
    </row>
    <row r="4" spans="2:17" x14ac:dyDescent="0.25">
      <c r="B4" s="38" t="s">
        <v>36</v>
      </c>
      <c r="C4" s="54">
        <f>21.98-14.68</f>
        <v>7.3000000000000007</v>
      </c>
      <c r="D4" s="54">
        <f>21</f>
        <v>21</v>
      </c>
      <c r="E4" s="54">
        <f>D4</f>
        <v>21</v>
      </c>
      <c r="F4" s="54">
        <v>11.96</v>
      </c>
      <c r="G4" s="54">
        <f>D4</f>
        <v>21</v>
      </c>
      <c r="H4" s="54">
        <v>22</v>
      </c>
      <c r="I4" s="54">
        <v>14.7</v>
      </c>
      <c r="J4" s="55">
        <f>SUMPRODUCT(C4:I4,$C$6:$I$6)/($J$6)</f>
        <v>11.959558318272675</v>
      </c>
      <c r="K4" s="40"/>
      <c r="L4" s="56">
        <f>L2*CONVERT($J$4,"in","m")</f>
        <v>0.30377278128412594</v>
      </c>
      <c r="M4" s="20" t="s">
        <v>10</v>
      </c>
    </row>
    <row r="5" spans="2:17" x14ac:dyDescent="0.25">
      <c r="B5" s="38" t="s">
        <v>37</v>
      </c>
      <c r="C5" s="54">
        <v>0</v>
      </c>
      <c r="D5" s="57">
        <f>CONVERT(53.3,"mm","in")</f>
        <v>2.0984251968503935</v>
      </c>
      <c r="E5" s="54">
        <f>D5</f>
        <v>2.0984251968503935</v>
      </c>
      <c r="F5" s="54">
        <f>6.77/2</f>
        <v>3.3849999999999998</v>
      </c>
      <c r="G5" s="54">
        <f>D5</f>
        <v>2.0984251968503935</v>
      </c>
      <c r="H5" s="57">
        <v>0</v>
      </c>
      <c r="I5" s="57">
        <f>I12</f>
        <v>-5.8908702952337295</v>
      </c>
      <c r="J5" s="58">
        <f>SUMPRODUCT(C5:I5,$C$6:$I$6)/($J$6)</f>
        <v>0.38067077110297487</v>
      </c>
      <c r="K5" s="40"/>
      <c r="L5" s="56">
        <f>L2*CONVERT($J$5,"in","m")</f>
        <v>9.6690375860155608E-3</v>
      </c>
      <c r="M5" s="20" t="s">
        <v>10</v>
      </c>
      <c r="P5" s="20">
        <v>25</v>
      </c>
      <c r="Q5" s="20">
        <f>20/1.82</f>
        <v>10.989010989010989</v>
      </c>
    </row>
    <row r="6" spans="2:17" ht="15.75" thickBot="1" x14ac:dyDescent="0.3">
      <c r="B6" s="38" t="s">
        <v>30</v>
      </c>
      <c r="C6" s="57">
        <v>31.86</v>
      </c>
      <c r="D6" s="59">
        <v>11.38</v>
      </c>
      <c r="E6" s="165">
        <f>'Wet Weights'!E36/2</f>
        <v>0.4938347220075176</v>
      </c>
      <c r="F6" s="59">
        <f>'Wet Weights'!E24/2</f>
        <v>0.8496459733863323</v>
      </c>
      <c r="G6" s="165">
        <f>'Wet Weights'!E4/2</f>
        <v>1.9104715458769521</v>
      </c>
      <c r="H6" s="165">
        <v>1.79</v>
      </c>
      <c r="I6" s="59">
        <v>2.14</v>
      </c>
      <c r="J6" s="60">
        <f>SUM(C6:I6)</f>
        <v>50.423952241270804</v>
      </c>
      <c r="K6" s="40"/>
      <c r="L6" s="56">
        <f>L2^3*CONVERT(($J$6)*2,"lbf","kN")</f>
        <v>0.44859382857296787</v>
      </c>
      <c r="M6" s="20" t="s">
        <v>38</v>
      </c>
      <c r="P6" s="20">
        <f>J6*P5^3</f>
        <v>787874.2537698563</v>
      </c>
      <c r="Q6" s="239">
        <f>J6*Q5^3</f>
        <v>66913.339607377158</v>
      </c>
    </row>
    <row r="7" spans="2:17" x14ac:dyDescent="0.25">
      <c r="B7" s="36"/>
      <c r="C7" s="61"/>
      <c r="D7" s="62">
        <v>10.45</v>
      </c>
      <c r="E7" s="62"/>
      <c r="F7" s="62"/>
      <c r="G7" s="62"/>
      <c r="H7" s="62"/>
      <c r="I7" s="62"/>
      <c r="J7" s="36"/>
      <c r="K7" s="36"/>
      <c r="L7" s="56"/>
    </row>
    <row r="8" spans="2:17" x14ac:dyDescent="0.25">
      <c r="B8" s="63"/>
      <c r="C8" s="64"/>
      <c r="D8" s="64"/>
      <c r="E8" s="64"/>
      <c r="F8" s="64"/>
      <c r="G8" s="64"/>
      <c r="H8" s="64"/>
      <c r="I8" s="64"/>
      <c r="J8" s="65">
        <f>J15-J14</f>
        <v>4.8481057455234122E-3</v>
      </c>
      <c r="K8" s="28" t="s">
        <v>39</v>
      </c>
      <c r="L8" s="56"/>
    </row>
    <row r="9" spans="2:17" ht="15.75" thickBot="1" x14ac:dyDescent="0.3">
      <c r="B9" s="19"/>
      <c r="C9" s="66"/>
      <c r="D9" s="19"/>
      <c r="E9" s="19"/>
      <c r="F9" s="19"/>
      <c r="G9" s="19"/>
      <c r="H9" s="19"/>
      <c r="I9" s="19"/>
      <c r="J9" s="19"/>
      <c r="K9" s="19"/>
      <c r="L9" s="56"/>
    </row>
    <row r="10" spans="2:17" x14ac:dyDescent="0.25">
      <c r="B10" s="50" t="s">
        <v>41</v>
      </c>
      <c r="C10" s="67" t="s">
        <v>42</v>
      </c>
      <c r="D10" s="51" t="s">
        <v>43</v>
      </c>
      <c r="E10" s="51" t="s">
        <v>201</v>
      </c>
      <c r="F10" s="51" t="s">
        <v>209</v>
      </c>
      <c r="G10" s="51" t="s">
        <v>211</v>
      </c>
      <c r="H10" s="51" t="s">
        <v>277</v>
      </c>
      <c r="I10" s="51" t="s">
        <v>197</v>
      </c>
      <c r="J10" s="51" t="s">
        <v>44</v>
      </c>
      <c r="K10" s="37"/>
      <c r="L10" s="56"/>
      <c r="M10" s="167"/>
    </row>
    <row r="11" spans="2:17" x14ac:dyDescent="0.25">
      <c r="B11" s="38" t="s">
        <v>36</v>
      </c>
      <c r="C11" s="54">
        <f>21.98-12.81</f>
        <v>9.17</v>
      </c>
      <c r="D11" s="54">
        <v>21</v>
      </c>
      <c r="E11" s="54">
        <f>E4</f>
        <v>21</v>
      </c>
      <c r="F11" s="54">
        <f>F4</f>
        <v>11.96</v>
      </c>
      <c r="G11" s="54">
        <f>G4</f>
        <v>21</v>
      </c>
      <c r="H11" s="54">
        <f>H4</f>
        <v>22</v>
      </c>
      <c r="I11" s="54">
        <f>I4</f>
        <v>14.7</v>
      </c>
      <c r="J11" s="55">
        <f>SUMPRODUCT(C11:I11,$C$13:$I$13)/($J$13)</f>
        <v>11.966233825518383</v>
      </c>
      <c r="K11" s="40"/>
      <c r="L11" s="56">
        <f>L2*CONVERT($J$11,"in","m")</f>
        <v>0.30394233916816693</v>
      </c>
      <c r="M11" s="20" t="s">
        <v>10</v>
      </c>
    </row>
    <row r="12" spans="2:17" x14ac:dyDescent="0.25">
      <c r="B12" s="38" t="s">
        <v>37</v>
      </c>
      <c r="C12" s="54">
        <v>0</v>
      </c>
      <c r="D12" s="68">
        <v>2.1</v>
      </c>
      <c r="E12" s="54">
        <f>E5</f>
        <v>2.0984251968503935</v>
      </c>
      <c r="F12" s="54">
        <f>F5</f>
        <v>3.3849999999999998</v>
      </c>
      <c r="G12" s="54">
        <f>G5</f>
        <v>2.0984251968503935</v>
      </c>
      <c r="H12" s="54">
        <f>H5</f>
        <v>0</v>
      </c>
      <c r="I12" s="54">
        <f>-6.77/2-J21/2</f>
        <v>-5.8908702952337295</v>
      </c>
      <c r="J12" s="58">
        <f>SUMPRODUCT(C12:I12,$C$13:$I$13)/($J$13)</f>
        <v>-1.6934564578546047</v>
      </c>
      <c r="K12" s="40"/>
      <c r="L12" s="56">
        <f>L2*CONVERT($J$12,"in","m")</f>
        <v>-4.301379402950696E-2</v>
      </c>
      <c r="M12" s="20" t="s">
        <v>10</v>
      </c>
    </row>
    <row r="13" spans="2:17" ht="15.75" thickBot="1" x14ac:dyDescent="0.3">
      <c r="B13" s="41" t="s">
        <v>45</v>
      </c>
      <c r="C13" s="69">
        <v>-33.01</v>
      </c>
      <c r="D13" s="70">
        <f>-0.102*62.4/2</f>
        <v>-3.1823999999999999</v>
      </c>
      <c r="E13" s="70">
        <f>-'Wet Weights'!E38/2</f>
        <v>-0.20742289789952512</v>
      </c>
      <c r="F13" s="70">
        <f>-'Wet Weights'!E26/2</f>
        <v>-0.15906120576258698</v>
      </c>
      <c r="G13" s="70">
        <f>-'Wet Weights'!E7/2</f>
        <v>-1.4232805807288078</v>
      </c>
      <c r="H13" s="70">
        <v>0</v>
      </c>
      <c r="I13" s="70">
        <f>-I36</f>
        <v>-17.859690853008331</v>
      </c>
      <c r="J13" s="71">
        <f>SUM(C13:I13)</f>
        <v>-55.841855537399255</v>
      </c>
      <c r="K13" s="42"/>
      <c r="L13" s="56">
        <f>L2^3*CONVERT(($J$13)*2,"lbf","kN")</f>
        <v>-0.4967938976754272</v>
      </c>
      <c r="M13" s="20" t="s">
        <v>38</v>
      </c>
      <c r="P13" s="239">
        <f>J13*P5^3</f>
        <v>-872528.99277186336</v>
      </c>
      <c r="Q13" s="239">
        <f>J13*Q5^3</f>
        <v>-74102.978402034132</v>
      </c>
    </row>
    <row r="14" spans="2:17" x14ac:dyDescent="0.25">
      <c r="B14" s="38" t="s">
        <v>46</v>
      </c>
      <c r="C14" s="28"/>
      <c r="D14" s="28"/>
      <c r="E14" s="150"/>
      <c r="F14" s="28"/>
      <c r="G14" s="150"/>
      <c r="H14" s="150"/>
      <c r="I14" s="28"/>
      <c r="J14" s="72">
        <f>-E56</f>
        <v>-5.422751401873974</v>
      </c>
      <c r="K14" s="40"/>
    </row>
    <row r="15" spans="2:17" ht="15.75" thickBot="1" x14ac:dyDescent="0.3">
      <c r="B15" s="41" t="s">
        <v>47</v>
      </c>
      <c r="C15" s="73">
        <f>C13+C6</f>
        <v>-1.1499999999999986</v>
      </c>
      <c r="D15" s="19"/>
      <c r="E15" s="19"/>
      <c r="F15" s="19"/>
      <c r="G15" s="19"/>
      <c r="H15" s="19"/>
      <c r="I15" s="19"/>
      <c r="J15" s="74">
        <f>J13+J6</f>
        <v>-5.4179032961284506</v>
      </c>
      <c r="K15" s="42"/>
      <c r="L15" s="56">
        <f>L2^3*CONVERT(($J$15)*2,"lbf","kN")</f>
        <v>-4.8200069102459366E-2</v>
      </c>
      <c r="M15" s="20" t="s">
        <v>38</v>
      </c>
    </row>
    <row r="16" spans="2:17" ht="15.75" thickBot="1" x14ac:dyDescent="0.3"/>
    <row r="17" spans="2:12" x14ac:dyDescent="0.25">
      <c r="B17" s="134"/>
      <c r="E17" s="135"/>
      <c r="F17" s="135"/>
      <c r="G17" s="135"/>
      <c r="H17" s="135"/>
      <c r="J17" s="32" t="s">
        <v>48</v>
      </c>
      <c r="L17" s="75" t="s">
        <v>49</v>
      </c>
    </row>
    <row r="18" spans="2:12" x14ac:dyDescent="0.25">
      <c r="E18" s="64"/>
      <c r="F18" s="64"/>
      <c r="G18" s="64"/>
      <c r="H18" s="64"/>
      <c r="I18" s="76">
        <f>12^3*((-I13-I6)/62.4)</f>
        <v>435.31451592946144</v>
      </c>
      <c r="J18" s="20">
        <v>434</v>
      </c>
      <c r="K18" s="20" t="s">
        <v>203</v>
      </c>
      <c r="L18" s="77">
        <v>20.8</v>
      </c>
    </row>
    <row r="19" spans="2:12" x14ac:dyDescent="0.25">
      <c r="E19" s="64"/>
      <c r="F19" s="64"/>
      <c r="G19" s="64"/>
      <c r="H19" s="64"/>
      <c r="I19" s="156">
        <v>22</v>
      </c>
      <c r="J19" s="76">
        <v>22</v>
      </c>
      <c r="K19" s="20" t="s">
        <v>104</v>
      </c>
      <c r="L19" s="77" t="s">
        <v>50</v>
      </c>
    </row>
    <row r="20" spans="2:12" ht="15.75" thickBot="1" x14ac:dyDescent="0.3">
      <c r="I20" s="156">
        <f>I18/I19</f>
        <v>19.787023451339156</v>
      </c>
      <c r="J20" s="76">
        <f>J18/J19</f>
        <v>19.727272727272727</v>
      </c>
      <c r="K20" s="20" t="s">
        <v>51</v>
      </c>
      <c r="L20" s="78">
        <f>L18/J15</f>
        <v>-3.8391235249369173</v>
      </c>
    </row>
    <row r="21" spans="2:12" x14ac:dyDescent="0.25">
      <c r="E21" s="76"/>
      <c r="F21" s="156"/>
      <c r="G21" s="156"/>
      <c r="H21" s="156"/>
      <c r="I21" s="156">
        <f>2*SQRT(I20/PI())</f>
        <v>5.0193247285712701</v>
      </c>
      <c r="J21" s="76">
        <f>2*SQRT(J20/PI())</f>
        <v>5.0117405904674595</v>
      </c>
      <c r="K21" s="20" t="s">
        <v>52</v>
      </c>
    </row>
    <row r="22" spans="2:12" x14ac:dyDescent="0.25">
      <c r="D22" s="76"/>
      <c r="I22" s="156">
        <f>SQRT(I20)</f>
        <v>4.4482607220507155</v>
      </c>
      <c r="J22" s="76">
        <f>SQRT(J20)</f>
        <v>4.4415394546567661</v>
      </c>
      <c r="K22" s="20" t="s">
        <v>200</v>
      </c>
    </row>
    <row r="23" spans="2:12" x14ac:dyDescent="0.25">
      <c r="K23" s="53"/>
    </row>
    <row r="24" spans="2:12" x14ac:dyDescent="0.25">
      <c r="I24" s="156">
        <f>2*((I18-C46)/12^3)*62.4</f>
        <v>6.6500067060166623</v>
      </c>
      <c r="J24" s="156">
        <f>2*((J18-C46)/12^3)*62.4</f>
        <v>6.5550694444444479</v>
      </c>
      <c r="K24" s="151" t="s">
        <v>205</v>
      </c>
    </row>
    <row r="25" spans="2:12" x14ac:dyDescent="0.25">
      <c r="I25" s="151" t="s">
        <v>206</v>
      </c>
      <c r="J25" s="151" t="s">
        <v>204</v>
      </c>
    </row>
    <row r="26" spans="2:12" x14ac:dyDescent="0.25">
      <c r="B26" s="112" t="s">
        <v>103</v>
      </c>
      <c r="J26" s="20" t="s">
        <v>216</v>
      </c>
    </row>
    <row r="27" spans="2:12" ht="15.75" thickBot="1" x14ac:dyDescent="0.3">
      <c r="C27" s="112" t="s">
        <v>101</v>
      </c>
    </row>
    <row r="28" spans="2:12" x14ac:dyDescent="0.25">
      <c r="I28" s="240" t="s">
        <v>243</v>
      </c>
      <c r="J28" s="172"/>
      <c r="K28" s="173"/>
    </row>
    <row r="29" spans="2:12" ht="15.75" thickBot="1" x14ac:dyDescent="0.3">
      <c r="C29" s="56">
        <f>-J15*2</f>
        <v>10.835806592256901</v>
      </c>
      <c r="D29" s="79" t="s">
        <v>58</v>
      </c>
      <c r="I29" s="241">
        <v>8104.65</v>
      </c>
      <c r="J29" s="150" t="s">
        <v>225</v>
      </c>
      <c r="K29" s="176"/>
    </row>
    <row r="30" spans="2:12" ht="16.5" thickTop="1" thickBot="1" x14ac:dyDescent="0.3">
      <c r="C30" s="56">
        <f>19.7*0.868</f>
        <v>17.099599999999999</v>
      </c>
      <c r="D30" s="79" t="s">
        <v>59</v>
      </c>
      <c r="I30" s="242">
        <f>I29*0.06102374</f>
        <v>494.57605439099996</v>
      </c>
      <c r="J30" s="150" t="s">
        <v>222</v>
      </c>
      <c r="K30" s="176"/>
    </row>
    <row r="31" spans="2:12" ht="15.75" thickTop="1" x14ac:dyDescent="0.25">
      <c r="I31" s="241">
        <v>801.26</v>
      </c>
      <c r="J31" s="150" t="s">
        <v>224</v>
      </c>
      <c r="K31" s="176"/>
    </row>
    <row r="32" spans="2:12" x14ac:dyDescent="0.25">
      <c r="B32" s="113" t="s">
        <v>61</v>
      </c>
      <c r="C32" s="113" t="s">
        <v>62</v>
      </c>
      <c r="I32" s="168">
        <f>I31*0.06102374</f>
        <v>48.8958819124</v>
      </c>
      <c r="J32" s="150" t="s">
        <v>223</v>
      </c>
      <c r="K32" s="176"/>
    </row>
    <row r="33" spans="2:11" x14ac:dyDescent="0.25">
      <c r="B33" s="20">
        <v>4.5</v>
      </c>
      <c r="C33" s="56">
        <v>4.5</v>
      </c>
      <c r="D33" s="79" t="s">
        <v>63</v>
      </c>
      <c r="I33" s="174">
        <v>1.21</v>
      </c>
      <c r="J33" s="150" t="s">
        <v>226</v>
      </c>
      <c r="K33" s="176"/>
    </row>
    <row r="34" spans="2:11" x14ac:dyDescent="0.25">
      <c r="B34" s="20">
        <v>4.5</v>
      </c>
      <c r="C34" s="56">
        <v>4.5</v>
      </c>
      <c r="D34" s="85" t="s">
        <v>64</v>
      </c>
      <c r="I34" s="168">
        <f>I33*I31/1000</f>
        <v>0.96952459999999996</v>
      </c>
      <c r="J34" s="150" t="s">
        <v>218</v>
      </c>
      <c r="K34" s="176"/>
    </row>
    <row r="35" spans="2:11" x14ac:dyDescent="0.25">
      <c r="B35" s="20">
        <f>21+(7/16)</f>
        <v>21.4375</v>
      </c>
      <c r="C35" s="46">
        <v>17.155555555555551</v>
      </c>
      <c r="D35" s="79" t="s">
        <v>66</v>
      </c>
      <c r="I35" s="168">
        <f>CONVERT(I34*9.81,"N","lbf")</f>
        <v>2.1381660242310132</v>
      </c>
      <c r="J35" s="150" t="s">
        <v>219</v>
      </c>
      <c r="K35" s="176"/>
    </row>
    <row r="36" spans="2:11" x14ac:dyDescent="0.25">
      <c r="C36" s="86">
        <f>2*(C33*C34*C35)/(12*12*12)*62.4</f>
        <v>25.089999999999993</v>
      </c>
      <c r="D36" s="79" t="s">
        <v>67</v>
      </c>
      <c r="I36" s="168">
        <f>(I30/12^3)*62.4</f>
        <v>17.859690853008331</v>
      </c>
      <c r="J36" s="150" t="s">
        <v>220</v>
      </c>
      <c r="K36" s="176"/>
    </row>
    <row r="37" spans="2:11" x14ac:dyDescent="0.25">
      <c r="C37" s="56">
        <f>(2*(B33*B34*B35)/(12*12*12)*62.4)-(C30-C29)</f>
        <v>25.088550342256902</v>
      </c>
      <c r="D37" s="79" t="s">
        <v>69</v>
      </c>
      <c r="I37" s="168">
        <f>I36-I35</f>
        <v>15.721524828777317</v>
      </c>
      <c r="J37" s="150" t="s">
        <v>221</v>
      </c>
      <c r="K37" s="176"/>
    </row>
    <row r="38" spans="2:11" x14ac:dyDescent="0.25">
      <c r="I38" s="174"/>
      <c r="J38" s="150"/>
      <c r="K38" s="176"/>
    </row>
    <row r="39" spans="2:11" x14ac:dyDescent="0.25">
      <c r="C39" s="56">
        <f>-2*I13</f>
        <v>35.719381706016662</v>
      </c>
      <c r="D39" s="20" t="s">
        <v>70</v>
      </c>
      <c r="I39" s="168">
        <f>12^3*(I35/62.4)</f>
        <v>59.210751440243442</v>
      </c>
      <c r="J39" s="150" t="s">
        <v>228</v>
      </c>
      <c r="K39" s="176"/>
    </row>
    <row r="40" spans="2:11" ht="15.75" thickBot="1" x14ac:dyDescent="0.3">
      <c r="C40" s="56">
        <f>C39-C37</f>
        <v>10.630831363759761</v>
      </c>
      <c r="D40" s="79" t="s">
        <v>71</v>
      </c>
      <c r="I40" s="174">
        <f>J18</f>
        <v>434</v>
      </c>
      <c r="J40" s="150" t="s">
        <v>232</v>
      </c>
      <c r="K40" s="176"/>
    </row>
    <row r="41" spans="2:11" ht="16.5" thickTop="1" thickBot="1" x14ac:dyDescent="0.3">
      <c r="I41" s="243">
        <f>SUM(I39:I40)</f>
        <v>493.21075144024343</v>
      </c>
      <c r="J41" s="19" t="s">
        <v>227</v>
      </c>
      <c r="K41" s="178"/>
    </row>
    <row r="42" spans="2:11" ht="15.75" thickBot="1" x14ac:dyDescent="0.3">
      <c r="C42" s="112" t="s">
        <v>102</v>
      </c>
      <c r="D42" s="111"/>
      <c r="I42" s="156"/>
    </row>
    <row r="43" spans="2:11" x14ac:dyDescent="0.25">
      <c r="C43" s="111">
        <v>16.95</v>
      </c>
      <c r="D43" s="111" t="s">
        <v>96</v>
      </c>
      <c r="F43" s="20"/>
      <c r="I43" s="240" t="s">
        <v>231</v>
      </c>
      <c r="J43" s="172"/>
      <c r="K43" s="173"/>
    </row>
    <row r="44" spans="2:11" x14ac:dyDescent="0.25">
      <c r="C44" s="111">
        <v>4.5</v>
      </c>
      <c r="D44" s="111" t="s">
        <v>97</v>
      </c>
      <c r="I44" s="174">
        <v>45.5</v>
      </c>
      <c r="J44" s="151" t="s">
        <v>229</v>
      </c>
      <c r="K44" s="176"/>
    </row>
    <row r="45" spans="2:11" x14ac:dyDescent="0.25">
      <c r="C45" s="111">
        <v>4.5</v>
      </c>
      <c r="D45" s="111" t="s">
        <v>98</v>
      </c>
      <c r="I45" s="174">
        <v>20</v>
      </c>
      <c r="J45" s="151" t="s">
        <v>230</v>
      </c>
      <c r="K45" s="176"/>
    </row>
    <row r="46" spans="2:11" x14ac:dyDescent="0.25">
      <c r="C46" s="156">
        <f>C43*C44*C45</f>
        <v>343.23749999999995</v>
      </c>
      <c r="D46" s="20" t="s">
        <v>198</v>
      </c>
      <c r="I46" s="168">
        <f>-J14*((I44/I45)-1)</f>
        <v>6.9140080373893165</v>
      </c>
      <c r="J46" s="150" t="str">
        <f>"Additional Buoyancy for "&amp;I45&amp;"m Rotor Thrust (lbf)"</f>
        <v>Additional Buoyancy for 20m Rotor Thrust (lbf)</v>
      </c>
      <c r="K46" s="176"/>
    </row>
    <row r="47" spans="2:11" x14ac:dyDescent="0.25">
      <c r="C47" s="111">
        <v>4.4999999999999998E-2</v>
      </c>
      <c r="D47" s="111" t="s">
        <v>99</v>
      </c>
      <c r="I47" s="168">
        <f>12^3*(I46/62.4)</f>
        <v>191.4648379584734</v>
      </c>
      <c r="J47" s="150" t="s">
        <v>242</v>
      </c>
      <c r="K47" s="176"/>
    </row>
    <row r="48" spans="2:11" s="111" customFormat="1" x14ac:dyDescent="0.25">
      <c r="C48" s="111">
        <v>4.3999999999999997E-2</v>
      </c>
      <c r="D48" s="111" t="s">
        <v>100</v>
      </c>
      <c r="F48" s="138"/>
      <c r="G48" s="138"/>
      <c r="H48" s="239"/>
      <c r="I48" s="174"/>
      <c r="J48" s="150"/>
      <c r="K48" s="176"/>
    </row>
    <row r="49" spans="2:11" ht="15.75" thickBot="1" x14ac:dyDescent="0.3">
      <c r="I49" s="241">
        <v>11834.62</v>
      </c>
      <c r="J49" s="150" t="s">
        <v>234</v>
      </c>
      <c r="K49" s="176"/>
    </row>
    <row r="50" spans="2:11" ht="16.5" thickTop="1" thickBot="1" x14ac:dyDescent="0.3">
      <c r="I50" s="242">
        <f>I49*0.06102374</f>
        <v>722.19277387880004</v>
      </c>
      <c r="J50" s="150" t="s">
        <v>235</v>
      </c>
      <c r="K50" s="176"/>
    </row>
    <row r="51" spans="2:11" ht="15.75" thickTop="1" x14ac:dyDescent="0.25">
      <c r="B51" s="50" t="s">
        <v>53</v>
      </c>
      <c r="C51" s="51" t="s">
        <v>54</v>
      </c>
      <c r="D51" s="51" t="s">
        <v>55</v>
      </c>
      <c r="E51" s="52" t="s">
        <v>56</v>
      </c>
      <c r="F51" s="179"/>
      <c r="G51" s="179"/>
      <c r="H51" s="179"/>
      <c r="I51" s="241">
        <v>1293.97</v>
      </c>
      <c r="J51" s="150" t="s">
        <v>236</v>
      </c>
      <c r="K51" s="176"/>
    </row>
    <row r="52" spans="2:11" x14ac:dyDescent="0.25">
      <c r="B52" s="107" t="s">
        <v>57</v>
      </c>
      <c r="C52" s="64">
        <v>4866</v>
      </c>
      <c r="D52" s="64">
        <f>CONVERT((C52/25^3)/2,"kN","lbf")</f>
        <v>35.005450147942113</v>
      </c>
      <c r="E52" s="105"/>
      <c r="F52" s="64"/>
      <c r="G52" s="64"/>
      <c r="H52" s="64"/>
      <c r="I52" s="168">
        <f>I51*0.06102374</f>
        <v>78.962888847800002</v>
      </c>
      <c r="J52" s="150" t="s">
        <v>237</v>
      </c>
      <c r="K52" s="176"/>
    </row>
    <row r="53" spans="2:11" x14ac:dyDescent="0.25">
      <c r="B53" s="107" t="s">
        <v>41</v>
      </c>
      <c r="C53" s="64">
        <v>6001</v>
      </c>
      <c r="D53" s="64">
        <f>CONVERT((C53/25^3)/2,"kN","lbf")</f>
        <v>43.1705109613236</v>
      </c>
      <c r="E53" s="105">
        <f>D53-D52</f>
        <v>8.165060813381487</v>
      </c>
      <c r="F53" s="64"/>
      <c r="G53" s="64"/>
      <c r="H53" s="64"/>
      <c r="I53" s="174">
        <v>1.21</v>
      </c>
      <c r="J53" s="150" t="s">
        <v>226</v>
      </c>
      <c r="K53" s="176"/>
    </row>
    <row r="54" spans="2:11" x14ac:dyDescent="0.25">
      <c r="B54" s="80" t="s">
        <v>60</v>
      </c>
      <c r="C54" s="81" t="s">
        <v>54</v>
      </c>
      <c r="D54" s="81" t="s">
        <v>55</v>
      </c>
      <c r="E54" s="82" t="s">
        <v>56</v>
      </c>
      <c r="F54" s="81"/>
      <c r="G54" s="81"/>
      <c r="H54" s="81"/>
      <c r="I54" s="168">
        <f>I53*I51/1000</f>
        <v>1.5657037</v>
      </c>
      <c r="J54" s="150" t="s">
        <v>238</v>
      </c>
      <c r="K54" s="176"/>
    </row>
    <row r="55" spans="2:11" x14ac:dyDescent="0.25">
      <c r="B55" s="107" t="s">
        <v>57</v>
      </c>
      <c r="C55" s="83">
        <f>2423.1*2</f>
        <v>4846.2</v>
      </c>
      <c r="D55" s="64">
        <f>CONVERT((C55/25^3)/2,"kN","lbf")</f>
        <v>34.863011201594141</v>
      </c>
      <c r="E55" s="105"/>
      <c r="F55" s="64"/>
      <c r="G55" s="64"/>
      <c r="H55" s="64"/>
      <c r="I55" s="168">
        <f>CONVERT(I54*9.81,"N","lbf")</f>
        <v>3.4529649431822436</v>
      </c>
      <c r="J55" s="150" t="s">
        <v>239</v>
      </c>
      <c r="K55" s="176"/>
    </row>
    <row r="56" spans="2:11" ht="15.75" thickBot="1" x14ac:dyDescent="0.3">
      <c r="B56" s="109" t="s">
        <v>41</v>
      </c>
      <c r="C56" s="84">
        <v>5600</v>
      </c>
      <c r="D56" s="66">
        <f>CONVERT((C56/25^3)/2,"kN","lbf")</f>
        <v>40.285762603468115</v>
      </c>
      <c r="E56" s="106">
        <f>D56-D55</f>
        <v>5.422751401873974</v>
      </c>
      <c r="F56" s="64"/>
      <c r="G56" s="64"/>
      <c r="H56" s="64"/>
      <c r="I56" s="168">
        <f>(I50/12^3)*62.4</f>
        <v>26.079183501178889</v>
      </c>
      <c r="J56" s="150" t="s">
        <v>240</v>
      </c>
      <c r="K56" s="176"/>
    </row>
    <row r="57" spans="2:11" x14ac:dyDescent="0.25">
      <c r="E57" s="85"/>
      <c r="F57" s="139"/>
      <c r="G57" s="139"/>
      <c r="H57" s="139"/>
      <c r="I57" s="168">
        <f>I56-I55</f>
        <v>22.626218557996644</v>
      </c>
      <c r="J57" s="150" t="s">
        <v>241</v>
      </c>
      <c r="K57" s="176"/>
    </row>
    <row r="58" spans="2:11" x14ac:dyDescent="0.25">
      <c r="B58" s="20" t="s">
        <v>65</v>
      </c>
      <c r="C58" s="20">
        <v>6873</v>
      </c>
      <c r="I58" s="174"/>
      <c r="J58" s="150"/>
      <c r="K58" s="176"/>
    </row>
    <row r="59" spans="2:11" x14ac:dyDescent="0.25">
      <c r="C59" s="20">
        <v>7627</v>
      </c>
      <c r="I59" s="168">
        <f>12^3*(I55/62.4)</f>
        <v>95.620567657354442</v>
      </c>
      <c r="J59" s="150" t="s">
        <v>228</v>
      </c>
      <c r="K59" s="176"/>
    </row>
    <row r="60" spans="2:11" ht="15.75" thickBot="1" x14ac:dyDescent="0.3">
      <c r="C60" s="76">
        <f>CONVERT(C58*(1/25)^3,"kN","lbf")/2</f>
        <v>49.443579709577932</v>
      </c>
      <c r="D60" s="20" t="s">
        <v>68</v>
      </c>
      <c r="I60" s="168">
        <f>I47+I40</f>
        <v>625.46483795847337</v>
      </c>
      <c r="J60" s="150" t="s">
        <v>233</v>
      </c>
      <c r="K60" s="176"/>
    </row>
    <row r="61" spans="2:11" ht="16.5" thickTop="1" thickBot="1" x14ac:dyDescent="0.3">
      <c r="I61" s="243">
        <f>SUM(I59:I60)</f>
        <v>721.08540561582777</v>
      </c>
      <c r="J61" s="19" t="s">
        <v>227</v>
      </c>
      <c r="K61" s="178"/>
    </row>
    <row r="64" spans="2:11" x14ac:dyDescent="0.25">
      <c r="G64" s="239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P61"/>
  <sheetViews>
    <sheetView topLeftCell="C1" workbookViewId="0">
      <selection activeCell="H5" sqref="H5"/>
    </sheetView>
  </sheetViews>
  <sheetFormatPr defaultRowHeight="15" x14ac:dyDescent="0.25"/>
  <cols>
    <col min="1" max="1" width="2.85546875" style="239" customWidth="1"/>
    <col min="2" max="2" width="41.28515625" style="239" bestFit="1" customWidth="1"/>
    <col min="3" max="3" width="19.7109375" style="239" bestFit="1" customWidth="1"/>
    <col min="4" max="4" width="49.5703125" style="239" bestFit="1" customWidth="1"/>
    <col min="5" max="5" width="30.28515625" style="239" bestFit="1" customWidth="1"/>
    <col min="6" max="6" width="24.28515625" style="239" bestFit="1" customWidth="1"/>
    <col min="7" max="7" width="25.28515625" style="239" bestFit="1" customWidth="1"/>
    <col min="8" max="8" width="33.42578125" style="239" bestFit="1" customWidth="1"/>
    <col min="9" max="9" width="21.5703125" style="239" bestFit="1" customWidth="1"/>
    <col min="10" max="10" width="38.42578125" style="239" bestFit="1" customWidth="1"/>
    <col min="11" max="11" width="33.42578125" style="239" bestFit="1" customWidth="1"/>
    <col min="12" max="12" width="38.42578125" style="239" bestFit="1" customWidth="1"/>
    <col min="13" max="16384" width="9.140625" style="239"/>
  </cols>
  <sheetData>
    <row r="2" spans="2:16" s="155" customFormat="1" ht="15.75" thickBot="1" x14ac:dyDescent="0.3">
      <c r="B2" s="155" t="s">
        <v>29</v>
      </c>
      <c r="K2" s="155">
        <v>25</v>
      </c>
    </row>
    <row r="3" spans="2:16" x14ac:dyDescent="0.25">
      <c r="B3" s="50" t="s">
        <v>30</v>
      </c>
      <c r="C3" s="51" t="s">
        <v>31</v>
      </c>
      <c r="D3" s="51" t="s">
        <v>32</v>
      </c>
      <c r="E3" s="51" t="s">
        <v>202</v>
      </c>
      <c r="F3" s="51" t="s">
        <v>208</v>
      </c>
      <c r="G3" s="51" t="s">
        <v>210</v>
      </c>
      <c r="H3" s="51" t="s">
        <v>196</v>
      </c>
      <c r="I3" s="51" t="s">
        <v>33</v>
      </c>
      <c r="J3" s="52" t="s">
        <v>34</v>
      </c>
      <c r="K3" s="167" t="s">
        <v>35</v>
      </c>
    </row>
    <row r="4" spans="2:16" x14ac:dyDescent="0.25">
      <c r="B4" s="174" t="s">
        <v>36</v>
      </c>
      <c r="C4" s="54">
        <f>21.98-14.68</f>
        <v>7.3000000000000007</v>
      </c>
      <c r="D4" s="54">
        <f>21</f>
        <v>21</v>
      </c>
      <c r="E4" s="54">
        <f>D4</f>
        <v>21</v>
      </c>
      <c r="F4" s="54">
        <v>10.7</v>
      </c>
      <c r="G4" s="54">
        <f>D4</f>
        <v>21</v>
      </c>
      <c r="H4" s="54">
        <v>13</v>
      </c>
      <c r="I4" s="55">
        <f>SUMPRODUCT(C4:H4,$C$6:$H$6)/($I$6)</f>
        <v>11.532807634051073</v>
      </c>
      <c r="J4" s="176"/>
      <c r="K4" s="160">
        <f>K2*CONVERT($I$4,"in","m")</f>
        <v>7.3233328476224306</v>
      </c>
      <c r="L4" s="239" t="s">
        <v>10</v>
      </c>
    </row>
    <row r="5" spans="2:16" x14ac:dyDescent="0.25">
      <c r="B5" s="174" t="s">
        <v>37</v>
      </c>
      <c r="C5" s="54">
        <v>0</v>
      </c>
      <c r="D5" s="57">
        <f>CONVERT(53.3,"mm","in")</f>
        <v>2.0984251968503935</v>
      </c>
      <c r="E5" s="54">
        <f>D5</f>
        <v>2.0984251968503935</v>
      </c>
      <c r="F5" s="54">
        <f>6.77/2</f>
        <v>3.3849999999999998</v>
      </c>
      <c r="G5" s="54">
        <f>D5</f>
        <v>2.0984251968503935</v>
      </c>
      <c r="H5" s="57">
        <f>H12</f>
        <v>-5.8908702952337295</v>
      </c>
      <c r="I5" s="58">
        <f>SUMPRODUCT(C5:H5,$C$6:$H$6)/($I$6)</f>
        <v>0.22945197111856772</v>
      </c>
      <c r="J5" s="176"/>
      <c r="K5" s="160">
        <f>K2*CONVERT($I$5,"in","m")</f>
        <v>0.14570200166029049</v>
      </c>
      <c r="L5" s="239" t="s">
        <v>10</v>
      </c>
      <c r="O5" s="239">
        <v>25</v>
      </c>
      <c r="P5" s="239">
        <f>20/1.82</f>
        <v>10.989010989010989</v>
      </c>
    </row>
    <row r="6" spans="2:16" ht="15.75" thickBot="1" x14ac:dyDescent="0.3">
      <c r="B6" s="174" t="s">
        <v>30</v>
      </c>
      <c r="C6" s="57">
        <v>31.86</v>
      </c>
      <c r="D6" s="165">
        <v>11.38</v>
      </c>
      <c r="E6" s="165">
        <f>'Wet Weights'!E36/2</f>
        <v>0.4938347220075176</v>
      </c>
      <c r="F6" s="165">
        <f>'Wet Weights'!E24/2</f>
        <v>0.8496459733863323</v>
      </c>
      <c r="G6" s="165">
        <f>'Wet Weights'!E4/2</f>
        <v>1.9104715458769521</v>
      </c>
      <c r="H6" s="165">
        <f>H55</f>
        <v>3.4529649431822436</v>
      </c>
      <c r="I6" s="60">
        <f>SUM(C6:H6)</f>
        <v>49.946917184453049</v>
      </c>
      <c r="J6" s="176"/>
      <c r="K6" s="160">
        <f>K2^3*CONVERT(($I$6)*2,"lbf","kN")</f>
        <v>6942.9673948596928</v>
      </c>
      <c r="L6" s="239" t="s">
        <v>38</v>
      </c>
      <c r="O6" s="239">
        <f>I6*O5^3</f>
        <v>780420.58100707887</v>
      </c>
      <c r="P6" s="239">
        <f>I6*P5^3</f>
        <v>66280.306944472453</v>
      </c>
    </row>
    <row r="7" spans="2:16" x14ac:dyDescent="0.25">
      <c r="B7" s="172"/>
      <c r="C7" s="61"/>
      <c r="D7" s="62">
        <v>10.45</v>
      </c>
      <c r="E7" s="62"/>
      <c r="F7" s="62"/>
      <c r="G7" s="62"/>
      <c r="H7" s="62"/>
      <c r="I7" s="172"/>
      <c r="J7" s="172"/>
      <c r="K7" s="244">
        <f>K6*1000/9.81</f>
        <v>707743.87307438254</v>
      </c>
      <c r="L7" s="245" t="s">
        <v>247</v>
      </c>
    </row>
    <row r="8" spans="2:16" x14ac:dyDescent="0.25">
      <c r="B8" s="179"/>
      <c r="C8" s="64"/>
      <c r="D8" s="64"/>
      <c r="E8" s="64"/>
      <c r="F8" s="64"/>
      <c r="G8" s="64"/>
      <c r="H8" s="64"/>
      <c r="I8" s="65">
        <f>I15-I14</f>
        <v>-8.6916795992427893</v>
      </c>
      <c r="J8" s="150" t="s">
        <v>39</v>
      </c>
      <c r="K8" s="244">
        <f>K7*(20/45.5)^3</f>
        <v>60107.949850459321</v>
      </c>
      <c r="L8" s="245" t="s">
        <v>245</v>
      </c>
      <c r="M8" s="239">
        <f>CONVERT(9.81*K8/2,"N","lbf")*(1/10.99)^3</f>
        <v>49.933433943869353</v>
      </c>
      <c r="N8" s="155" t="s">
        <v>248</v>
      </c>
    </row>
    <row r="9" spans="2:16" ht="15.75" thickBot="1" x14ac:dyDescent="0.3">
      <c r="B9" s="19"/>
      <c r="C9" s="66"/>
      <c r="D9" s="19"/>
      <c r="E9" s="19"/>
      <c r="F9" s="19"/>
      <c r="G9" s="19"/>
      <c r="H9" s="19"/>
      <c r="I9" s="19"/>
      <c r="J9" s="19"/>
      <c r="K9" s="244">
        <v>138000</v>
      </c>
      <c r="L9" s="245" t="s">
        <v>244</v>
      </c>
      <c r="M9" s="79">
        <f>K9/K7</f>
        <v>0.1949857925304801</v>
      </c>
      <c r="N9" s="239" t="s">
        <v>249</v>
      </c>
    </row>
    <row r="10" spans="2:16" x14ac:dyDescent="0.25">
      <c r="B10" s="50" t="s">
        <v>41</v>
      </c>
      <c r="C10" s="67" t="s">
        <v>42</v>
      </c>
      <c r="D10" s="51" t="s">
        <v>43</v>
      </c>
      <c r="E10" s="51" t="s">
        <v>201</v>
      </c>
      <c r="F10" s="51" t="s">
        <v>209</v>
      </c>
      <c r="G10" s="51" t="s">
        <v>211</v>
      </c>
      <c r="H10" s="51" t="s">
        <v>197</v>
      </c>
      <c r="I10" s="51" t="s">
        <v>44</v>
      </c>
      <c r="J10" s="173"/>
      <c r="K10" s="244">
        <f>K9*(1/10.99)^3</f>
        <v>103.96472499783196</v>
      </c>
      <c r="L10" s="246" t="s">
        <v>246</v>
      </c>
      <c r="M10" s="239">
        <f>CONVERT(9.81*K10/2,"N","lbf")</f>
        <v>114.64064073716389</v>
      </c>
      <c r="N10" s="155" t="s">
        <v>248</v>
      </c>
    </row>
    <row r="11" spans="2:16" x14ac:dyDescent="0.25">
      <c r="B11" s="174" t="s">
        <v>36</v>
      </c>
      <c r="C11" s="54">
        <f>21.98-12.81</f>
        <v>9.17</v>
      </c>
      <c r="D11" s="54">
        <v>21</v>
      </c>
      <c r="E11" s="54">
        <f>E4</f>
        <v>21</v>
      </c>
      <c r="F11" s="54">
        <v>10.7</v>
      </c>
      <c r="G11" s="54">
        <f>G4</f>
        <v>21</v>
      </c>
      <c r="H11" s="54">
        <f>H4</f>
        <v>13</v>
      </c>
      <c r="I11" s="55">
        <f>SUMPRODUCT(C11:H11,$C$13:$H$13)/($I$13)</f>
        <v>11.621800579524566</v>
      </c>
      <c r="J11" s="176"/>
      <c r="K11" s="160">
        <f>K2*CONVERT($I$11,"in","m")</f>
        <v>7.3798433679980997</v>
      </c>
      <c r="L11" s="239" t="s">
        <v>10</v>
      </c>
      <c r="M11" s="79">
        <f>(20/45.5)^2</f>
        <v>0.19321338002656682</v>
      </c>
      <c r="N11" s="239" t="s">
        <v>250</v>
      </c>
    </row>
    <row r="12" spans="2:16" x14ac:dyDescent="0.25">
      <c r="B12" s="174" t="s">
        <v>37</v>
      </c>
      <c r="C12" s="54">
        <v>0</v>
      </c>
      <c r="D12" s="157">
        <v>2.1</v>
      </c>
      <c r="E12" s="54">
        <f>E5</f>
        <v>2.0984251968503935</v>
      </c>
      <c r="F12" s="54">
        <f>F5</f>
        <v>3.3849999999999998</v>
      </c>
      <c r="G12" s="54">
        <f>G5</f>
        <v>2.0984251968503935</v>
      </c>
      <c r="H12" s="54">
        <f>-6.77/2-I21/2</f>
        <v>-5.8908702952337295</v>
      </c>
      <c r="I12" s="58">
        <f>SUMPRODUCT(C12:H12,$C$13:$H$13)/($I$13)</f>
        <v>-2.2320122821517674</v>
      </c>
      <c r="J12" s="176"/>
      <c r="K12" s="160">
        <f>K2*CONVERT($I$12,"in","m")</f>
        <v>-1.4173277991663724</v>
      </c>
      <c r="L12" s="239" t="s">
        <v>10</v>
      </c>
    </row>
    <row r="13" spans="2:16" ht="15.75" thickBot="1" x14ac:dyDescent="0.3">
      <c r="B13" s="177" t="s">
        <v>45</v>
      </c>
      <c r="C13" s="69">
        <v>-33.01</v>
      </c>
      <c r="D13" s="70">
        <f>-0.102*62.4/2</f>
        <v>-3.1823999999999999</v>
      </c>
      <c r="E13" s="70">
        <f>-'Wet Weights'!E38/2</f>
        <v>-0.20742289789952512</v>
      </c>
      <c r="F13" s="70">
        <f>-'Wet Weights'!E26/2</f>
        <v>-0.15906120576258698</v>
      </c>
      <c r="G13" s="70">
        <f>-'Wet Weights'!E7/2</f>
        <v>-1.4232805807288078</v>
      </c>
      <c r="H13" s="70">
        <f>-H56</f>
        <v>-26.079183501178889</v>
      </c>
      <c r="I13" s="71">
        <f>SUM(C13:H13)</f>
        <v>-64.061348185569813</v>
      </c>
      <c r="J13" s="178"/>
      <c r="K13" s="160">
        <f>K2^3*CONVERT(($I$13)*2,"lbf","kN")</f>
        <v>-8904.971053180645</v>
      </c>
      <c r="L13" s="239" t="s">
        <v>38</v>
      </c>
      <c r="O13" s="239">
        <f>I13*O5^3</f>
        <v>-1000958.5653995284</v>
      </c>
      <c r="P13" s="239">
        <f>I13*P5^3</f>
        <v>-85010.368214235714</v>
      </c>
    </row>
    <row r="14" spans="2:16" x14ac:dyDescent="0.25">
      <c r="B14" s="174" t="s">
        <v>46</v>
      </c>
      <c r="C14" s="150"/>
      <c r="D14" s="150"/>
      <c r="E14" s="150"/>
      <c r="F14" s="150"/>
      <c r="G14" s="150"/>
      <c r="H14" s="150"/>
      <c r="I14" s="72">
        <f>-E56</f>
        <v>-5.422751401873974</v>
      </c>
      <c r="J14" s="176"/>
    </row>
    <row r="15" spans="2:16" ht="15.75" thickBot="1" x14ac:dyDescent="0.3">
      <c r="B15" s="177" t="s">
        <v>47</v>
      </c>
      <c r="C15" s="73">
        <f>C13+C6</f>
        <v>-1.1499999999999986</v>
      </c>
      <c r="D15" s="19"/>
      <c r="E15" s="19"/>
      <c r="F15" s="19"/>
      <c r="G15" s="19"/>
      <c r="H15" s="19"/>
      <c r="I15" s="74">
        <f>I13+I6</f>
        <v>-14.114431001116763</v>
      </c>
      <c r="J15" s="178"/>
      <c r="K15" s="160">
        <f>K2^3*CONVERT(($I$15)*2,"lbf","kN")</f>
        <v>-1962.0036583209528</v>
      </c>
      <c r="L15" s="239" t="s">
        <v>38</v>
      </c>
    </row>
    <row r="16" spans="2:16" ht="15.75" thickBot="1" x14ac:dyDescent="0.3">
      <c r="I16" s="156">
        <f>I15-I14</f>
        <v>-8.6916795992427893</v>
      </c>
    </row>
    <row r="17" spans="2:11" x14ac:dyDescent="0.25">
      <c r="B17" s="166"/>
      <c r="E17" s="135"/>
      <c r="F17" s="135"/>
      <c r="G17" s="135"/>
      <c r="I17" s="155" t="s">
        <v>48</v>
      </c>
      <c r="K17" s="75" t="s">
        <v>49</v>
      </c>
    </row>
    <row r="18" spans="2:11" x14ac:dyDescent="0.25">
      <c r="E18" s="64"/>
      <c r="F18" s="64"/>
      <c r="G18" s="64"/>
      <c r="H18" s="156">
        <f>12^3*((-H13-H6)/62.4)</f>
        <v>626.57220622144553</v>
      </c>
      <c r="I18" s="239">
        <v>434</v>
      </c>
      <c r="J18" s="239" t="s">
        <v>203</v>
      </c>
      <c r="K18" s="77">
        <v>20.8</v>
      </c>
    </row>
    <row r="19" spans="2:11" x14ac:dyDescent="0.25">
      <c r="E19" s="64"/>
      <c r="F19" s="64"/>
      <c r="G19" s="64"/>
      <c r="H19" s="156">
        <v>22</v>
      </c>
      <c r="I19" s="156">
        <v>22</v>
      </c>
      <c r="J19" s="239" t="s">
        <v>104</v>
      </c>
      <c r="K19" s="77" t="s">
        <v>50</v>
      </c>
    </row>
    <row r="20" spans="2:11" ht="15.75" thickBot="1" x14ac:dyDescent="0.3">
      <c r="H20" s="156">
        <f>H18/H19</f>
        <v>28.480554828247524</v>
      </c>
      <c r="I20" s="156">
        <f>I18/I19</f>
        <v>19.727272727272727</v>
      </c>
      <c r="J20" s="239" t="s">
        <v>51</v>
      </c>
      <c r="K20" s="78">
        <f>K18/I15</f>
        <v>-1.4736690411646252</v>
      </c>
    </row>
    <row r="21" spans="2:11" x14ac:dyDescent="0.25">
      <c r="E21" s="156"/>
      <c r="F21" s="156"/>
      <c r="G21" s="156"/>
      <c r="H21" s="156">
        <f>2*SQRT(H20/PI())</f>
        <v>6.021840969614086</v>
      </c>
      <c r="I21" s="156">
        <f>2*SQRT(I20/PI())</f>
        <v>5.0117405904674595</v>
      </c>
      <c r="J21" s="239" t="s">
        <v>52</v>
      </c>
    </row>
    <row r="22" spans="2:11" x14ac:dyDescent="0.25">
      <c r="D22" s="156"/>
      <c r="H22" s="156">
        <f>SQRT(H20)</f>
        <v>5.3367176080665466</v>
      </c>
      <c r="I22" s="156">
        <f>SQRT(I20)</f>
        <v>4.4415394546567661</v>
      </c>
      <c r="J22" s="239" t="s">
        <v>200</v>
      </c>
    </row>
    <row r="23" spans="2:11" x14ac:dyDescent="0.25">
      <c r="J23" s="167"/>
    </row>
    <row r="24" spans="2:11" x14ac:dyDescent="0.25">
      <c r="H24" s="156">
        <f>2*((H18-C46)/12^3)*62.4</f>
        <v>20.463062115993292</v>
      </c>
      <c r="I24" s="156">
        <f>2*((I18-C46)/12^3)*62.4</f>
        <v>6.5550694444444479</v>
      </c>
      <c r="J24" s="151" t="s">
        <v>205</v>
      </c>
    </row>
    <row r="25" spans="2:11" x14ac:dyDescent="0.25">
      <c r="H25" s="151" t="s">
        <v>206</v>
      </c>
      <c r="I25" s="151" t="s">
        <v>204</v>
      </c>
    </row>
    <row r="26" spans="2:11" x14ac:dyDescent="0.25">
      <c r="B26" s="155" t="s">
        <v>103</v>
      </c>
      <c r="I26" s="239" t="s">
        <v>216</v>
      </c>
    </row>
    <row r="27" spans="2:11" ht="15.75" thickBot="1" x14ac:dyDescent="0.3">
      <c r="C27" s="155" t="s">
        <v>101</v>
      </c>
    </row>
    <row r="28" spans="2:11" x14ac:dyDescent="0.25">
      <c r="H28" s="240" t="s">
        <v>243</v>
      </c>
      <c r="I28" s="172"/>
      <c r="J28" s="173"/>
    </row>
    <row r="29" spans="2:11" ht="15.75" thickBot="1" x14ac:dyDescent="0.3">
      <c r="C29" s="160">
        <f>-I15*2</f>
        <v>28.228862002233527</v>
      </c>
      <c r="D29" s="79" t="s">
        <v>58</v>
      </c>
      <c r="H29" s="241">
        <v>8104.65</v>
      </c>
      <c r="I29" s="150" t="s">
        <v>225</v>
      </c>
      <c r="J29" s="176"/>
    </row>
    <row r="30" spans="2:11" ht="16.5" thickTop="1" thickBot="1" x14ac:dyDescent="0.3">
      <c r="C30" s="160">
        <f>19.7*0.868</f>
        <v>17.099599999999999</v>
      </c>
      <c r="D30" s="79" t="s">
        <v>59</v>
      </c>
      <c r="H30" s="242">
        <f>H29*0.06102374</f>
        <v>494.57605439099996</v>
      </c>
      <c r="I30" s="150" t="s">
        <v>222</v>
      </c>
      <c r="J30" s="176"/>
    </row>
    <row r="31" spans="2:11" ht="15.75" thickTop="1" x14ac:dyDescent="0.25">
      <c r="H31" s="241">
        <v>801.26</v>
      </c>
      <c r="I31" s="150" t="s">
        <v>224</v>
      </c>
      <c r="J31" s="176"/>
    </row>
    <row r="32" spans="2:11" x14ac:dyDescent="0.25">
      <c r="B32" s="113" t="s">
        <v>61</v>
      </c>
      <c r="C32" s="113" t="s">
        <v>62</v>
      </c>
      <c r="H32" s="168">
        <f>H31*0.06102374</f>
        <v>48.8958819124</v>
      </c>
      <c r="I32" s="150" t="s">
        <v>223</v>
      </c>
      <c r="J32" s="176"/>
    </row>
    <row r="33" spans="2:10" x14ac:dyDescent="0.25">
      <c r="B33" s="239">
        <v>4.5</v>
      </c>
      <c r="C33" s="160">
        <v>4.5</v>
      </c>
      <c r="D33" s="79" t="s">
        <v>63</v>
      </c>
      <c r="H33" s="174">
        <v>1.21</v>
      </c>
      <c r="I33" s="150" t="s">
        <v>226</v>
      </c>
      <c r="J33" s="176"/>
    </row>
    <row r="34" spans="2:10" x14ac:dyDescent="0.25">
      <c r="B34" s="239">
        <v>4.5</v>
      </c>
      <c r="C34" s="160">
        <v>4.5</v>
      </c>
      <c r="D34" s="139" t="s">
        <v>64</v>
      </c>
      <c r="H34" s="168">
        <f>H33*H31/1000</f>
        <v>0.96952459999999996</v>
      </c>
      <c r="I34" s="150" t="s">
        <v>218</v>
      </c>
      <c r="J34" s="176"/>
    </row>
    <row r="35" spans="2:10" x14ac:dyDescent="0.25">
      <c r="B35" s="239">
        <f>21+(7/16)</f>
        <v>21.4375</v>
      </c>
      <c r="C35" s="158">
        <v>17.155555555555551</v>
      </c>
      <c r="D35" s="79" t="s">
        <v>66</v>
      </c>
      <c r="H35" s="168">
        <f>CONVERT(H34*9.81,"N","lbf")</f>
        <v>2.1381660242310132</v>
      </c>
      <c r="I35" s="150" t="s">
        <v>219</v>
      </c>
      <c r="J35" s="176"/>
    </row>
    <row r="36" spans="2:10" x14ac:dyDescent="0.25">
      <c r="C36" s="86">
        <f>2*(C33*C34*C35)/(12*12*12)*62.4</f>
        <v>25.089999999999993</v>
      </c>
      <c r="D36" s="79" t="s">
        <v>67</v>
      </c>
      <c r="H36" s="168">
        <f>(H30/12^3)*62.4</f>
        <v>17.859690853008331</v>
      </c>
      <c r="I36" s="150" t="s">
        <v>220</v>
      </c>
      <c r="J36" s="176"/>
    </row>
    <row r="37" spans="2:10" x14ac:dyDescent="0.25">
      <c r="C37" s="160">
        <f>(2*(B33*B34*B35)/(12*12*12)*62.4)-(C30-C29)</f>
        <v>42.481605752233527</v>
      </c>
      <c r="D37" s="79" t="s">
        <v>69</v>
      </c>
      <c r="H37" s="168">
        <f>H36-H35</f>
        <v>15.721524828777317</v>
      </c>
      <c r="I37" s="150" t="s">
        <v>221</v>
      </c>
      <c r="J37" s="176"/>
    </row>
    <row r="38" spans="2:10" x14ac:dyDescent="0.25">
      <c r="H38" s="174"/>
      <c r="I38" s="150"/>
      <c r="J38" s="176"/>
    </row>
    <row r="39" spans="2:10" x14ac:dyDescent="0.25">
      <c r="C39" s="160">
        <f>-2*H13</f>
        <v>52.158367002357778</v>
      </c>
      <c r="D39" s="239" t="s">
        <v>70</v>
      </c>
      <c r="H39" s="168">
        <f>12^3*(H35/62.4)</f>
        <v>59.210751440243442</v>
      </c>
      <c r="I39" s="150" t="s">
        <v>228</v>
      </c>
      <c r="J39" s="176"/>
    </row>
    <row r="40" spans="2:10" ht="15.75" thickBot="1" x14ac:dyDescent="0.3">
      <c r="C40" s="160">
        <f>C39-C37</f>
        <v>9.676761250124251</v>
      </c>
      <c r="D40" s="79" t="s">
        <v>71</v>
      </c>
      <c r="H40" s="174">
        <f>I18</f>
        <v>434</v>
      </c>
      <c r="I40" s="150" t="s">
        <v>232</v>
      </c>
      <c r="J40" s="176"/>
    </row>
    <row r="41" spans="2:10" ht="16.5" thickTop="1" thickBot="1" x14ac:dyDescent="0.3">
      <c r="H41" s="243">
        <f>SUM(H39:H40)</f>
        <v>493.21075144024343</v>
      </c>
      <c r="I41" s="19" t="s">
        <v>227</v>
      </c>
      <c r="J41" s="178"/>
    </row>
    <row r="42" spans="2:10" ht="15.75" thickBot="1" x14ac:dyDescent="0.3">
      <c r="C42" s="155" t="s">
        <v>102</v>
      </c>
      <c r="H42" s="156"/>
    </row>
    <row r="43" spans="2:10" x14ac:dyDescent="0.25">
      <c r="C43" s="239">
        <v>16.95</v>
      </c>
      <c r="D43" s="239" t="s">
        <v>96</v>
      </c>
      <c r="H43" s="240" t="s">
        <v>231</v>
      </c>
      <c r="I43" s="172"/>
      <c r="J43" s="173"/>
    </row>
    <row r="44" spans="2:10" x14ac:dyDescent="0.25">
      <c r="C44" s="239">
        <v>4.5</v>
      </c>
      <c r="D44" s="239" t="s">
        <v>97</v>
      </c>
      <c r="H44" s="174">
        <v>45.5</v>
      </c>
      <c r="I44" s="151" t="s">
        <v>229</v>
      </c>
      <c r="J44" s="176"/>
    </row>
    <row r="45" spans="2:10" x14ac:dyDescent="0.25">
      <c r="C45" s="239">
        <v>4.5</v>
      </c>
      <c r="D45" s="239" t="s">
        <v>98</v>
      </c>
      <c r="H45" s="174">
        <v>20</v>
      </c>
      <c r="I45" s="151" t="s">
        <v>230</v>
      </c>
      <c r="J45" s="176"/>
    </row>
    <row r="46" spans="2:10" x14ac:dyDescent="0.25">
      <c r="C46" s="156">
        <f>C43*C44*C45</f>
        <v>343.23749999999995</v>
      </c>
      <c r="D46" s="239" t="s">
        <v>198</v>
      </c>
      <c r="H46" s="168">
        <f>-I14*((H44/H45)-1)</f>
        <v>6.9140080373893165</v>
      </c>
      <c r="I46" s="150" t="str">
        <f>"Additional Buoyancy for "&amp;H45&amp;"m Rotor Thrust (lbf)"</f>
        <v>Additional Buoyancy for 20m Rotor Thrust (lbf)</v>
      </c>
      <c r="J46" s="176"/>
    </row>
    <row r="47" spans="2:10" x14ac:dyDescent="0.25">
      <c r="C47" s="239">
        <v>4.4999999999999998E-2</v>
      </c>
      <c r="D47" s="239" t="s">
        <v>99</v>
      </c>
      <c r="H47" s="168">
        <f>12^3*(H46/62.4)</f>
        <v>191.4648379584734</v>
      </c>
      <c r="I47" s="150" t="s">
        <v>242</v>
      </c>
      <c r="J47" s="176"/>
    </row>
    <row r="48" spans="2:10" x14ac:dyDescent="0.25">
      <c r="C48" s="239">
        <v>4.3999999999999997E-2</v>
      </c>
      <c r="D48" s="239" t="s">
        <v>100</v>
      </c>
      <c r="H48" s="174"/>
      <c r="I48" s="150"/>
      <c r="J48" s="176"/>
    </row>
    <row r="49" spans="2:10" ht="15.75" thickBot="1" x14ac:dyDescent="0.3">
      <c r="H49" s="241">
        <v>11834.62</v>
      </c>
      <c r="I49" s="150" t="s">
        <v>234</v>
      </c>
      <c r="J49" s="176"/>
    </row>
    <row r="50" spans="2:10" ht="16.5" thickTop="1" thickBot="1" x14ac:dyDescent="0.3">
      <c r="H50" s="242">
        <f>H49*0.06102374</f>
        <v>722.19277387880004</v>
      </c>
      <c r="I50" s="150" t="s">
        <v>235</v>
      </c>
      <c r="J50" s="176"/>
    </row>
    <row r="51" spans="2:10" ht="15.75" thickTop="1" x14ac:dyDescent="0.25">
      <c r="B51" s="50" t="s">
        <v>53</v>
      </c>
      <c r="C51" s="51" t="s">
        <v>54</v>
      </c>
      <c r="D51" s="51" t="s">
        <v>55</v>
      </c>
      <c r="E51" s="52" t="s">
        <v>56</v>
      </c>
      <c r="F51" s="179"/>
      <c r="G51" s="179"/>
      <c r="H51" s="241">
        <v>1293.97</v>
      </c>
      <c r="I51" s="150" t="s">
        <v>236</v>
      </c>
      <c r="J51" s="176"/>
    </row>
    <row r="52" spans="2:10" x14ac:dyDescent="0.25">
      <c r="B52" s="174" t="s">
        <v>57</v>
      </c>
      <c r="C52" s="64">
        <v>4866</v>
      </c>
      <c r="D52" s="64">
        <f>CONVERT((C52/25^3)/2,"kN","lbf")</f>
        <v>35.005450147942113</v>
      </c>
      <c r="E52" s="169"/>
      <c r="F52" s="64"/>
      <c r="G52" s="64"/>
      <c r="H52" s="168">
        <f>H51*0.06102374</f>
        <v>78.962888847800002</v>
      </c>
      <c r="I52" s="150" t="s">
        <v>237</v>
      </c>
      <c r="J52" s="176"/>
    </row>
    <row r="53" spans="2:10" x14ac:dyDescent="0.25">
      <c r="B53" s="174" t="s">
        <v>41</v>
      </c>
      <c r="C53" s="64">
        <v>6001</v>
      </c>
      <c r="D53" s="64">
        <f>CONVERT((C53/25^3)/2,"kN","lbf")</f>
        <v>43.1705109613236</v>
      </c>
      <c r="E53" s="169">
        <f>D53-D52</f>
        <v>8.165060813381487</v>
      </c>
      <c r="F53" s="64"/>
      <c r="G53" s="64"/>
      <c r="H53" s="174">
        <v>1.21</v>
      </c>
      <c r="I53" s="150" t="s">
        <v>226</v>
      </c>
      <c r="J53" s="176"/>
    </row>
    <row r="54" spans="2:10" x14ac:dyDescent="0.25">
      <c r="B54" s="80" t="s">
        <v>60</v>
      </c>
      <c r="C54" s="81" t="s">
        <v>54</v>
      </c>
      <c r="D54" s="81" t="s">
        <v>55</v>
      </c>
      <c r="E54" s="82" t="s">
        <v>56</v>
      </c>
      <c r="F54" s="81"/>
      <c r="G54" s="81"/>
      <c r="H54" s="168">
        <f>H53*H51/1000</f>
        <v>1.5657037</v>
      </c>
      <c r="I54" s="150" t="s">
        <v>238</v>
      </c>
      <c r="J54" s="176"/>
    </row>
    <row r="55" spans="2:10" x14ac:dyDescent="0.25">
      <c r="B55" s="174" t="s">
        <v>57</v>
      </c>
      <c r="C55" s="83">
        <f>2423.1*2</f>
        <v>4846.2</v>
      </c>
      <c r="D55" s="64">
        <f>CONVERT((C55/25^3)/2,"kN","lbf")</f>
        <v>34.863011201594141</v>
      </c>
      <c r="E55" s="169"/>
      <c r="F55" s="64"/>
      <c r="G55" s="64"/>
      <c r="H55" s="168">
        <f>CONVERT(H54*9.81,"N","lbf")</f>
        <v>3.4529649431822436</v>
      </c>
      <c r="I55" s="150" t="s">
        <v>239</v>
      </c>
      <c r="J55" s="176"/>
    </row>
    <row r="56" spans="2:10" ht="15.75" thickBot="1" x14ac:dyDescent="0.3">
      <c r="B56" s="177" t="s">
        <v>41</v>
      </c>
      <c r="C56" s="84">
        <v>5600</v>
      </c>
      <c r="D56" s="66">
        <f>CONVERT((C56/25^3)/2,"kN","lbf")</f>
        <v>40.285762603468115</v>
      </c>
      <c r="E56" s="170">
        <f>D56-D55</f>
        <v>5.422751401873974</v>
      </c>
      <c r="F56" s="64"/>
      <c r="G56" s="64"/>
      <c r="H56" s="168">
        <f>(H50/12^3)*62.4</f>
        <v>26.079183501178889</v>
      </c>
      <c r="I56" s="150" t="s">
        <v>240</v>
      </c>
      <c r="J56" s="176"/>
    </row>
    <row r="57" spans="2:10" x14ac:dyDescent="0.25">
      <c r="E57" s="139"/>
      <c r="F57" s="139"/>
      <c r="G57" s="139"/>
      <c r="H57" s="168">
        <f>H56-H55</f>
        <v>22.626218557996644</v>
      </c>
      <c r="I57" s="150" t="s">
        <v>241</v>
      </c>
      <c r="J57" s="176"/>
    </row>
    <row r="58" spans="2:10" x14ac:dyDescent="0.25">
      <c r="B58" s="239" t="s">
        <v>65</v>
      </c>
      <c r="C58" s="239">
        <v>6873</v>
      </c>
      <c r="H58" s="174"/>
      <c r="I58" s="150"/>
      <c r="J58" s="176"/>
    </row>
    <row r="59" spans="2:10" x14ac:dyDescent="0.25">
      <c r="C59" s="239">
        <v>7627</v>
      </c>
      <c r="H59" s="168">
        <f>12^3*(H55/62.4)</f>
        <v>95.620567657354442</v>
      </c>
      <c r="I59" s="150" t="s">
        <v>228</v>
      </c>
      <c r="J59" s="176"/>
    </row>
    <row r="60" spans="2:10" ht="15.75" thickBot="1" x14ac:dyDescent="0.3">
      <c r="C60" s="156">
        <f>CONVERT(C58*(1/25)^3,"kN","lbf")/2</f>
        <v>49.443579709577932</v>
      </c>
      <c r="D60" s="239" t="s">
        <v>68</v>
      </c>
      <c r="H60" s="168">
        <f>H47+H40</f>
        <v>625.46483795847337</v>
      </c>
      <c r="I60" s="150" t="s">
        <v>233</v>
      </c>
      <c r="J60" s="176"/>
    </row>
    <row r="61" spans="2:10" ht="16.5" thickTop="1" thickBot="1" x14ac:dyDescent="0.3">
      <c r="H61" s="243">
        <f>SUM(H59:H60)</f>
        <v>721.08540561582777</v>
      </c>
      <c r="I61" s="19" t="s">
        <v>227</v>
      </c>
      <c r="J61" s="178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P61"/>
  <sheetViews>
    <sheetView topLeftCell="F1" zoomScale="85" zoomScaleNormal="85" workbookViewId="0">
      <selection activeCell="L12" sqref="L12"/>
    </sheetView>
  </sheetViews>
  <sheetFormatPr defaultRowHeight="15" x14ac:dyDescent="0.25"/>
  <cols>
    <col min="1" max="1" width="2.85546875" style="239" customWidth="1"/>
    <col min="2" max="2" width="41.28515625" style="239" bestFit="1" customWidth="1"/>
    <col min="3" max="3" width="19.7109375" style="239" bestFit="1" customWidth="1"/>
    <col min="4" max="4" width="49.5703125" style="239" bestFit="1" customWidth="1"/>
    <col min="5" max="5" width="30.28515625" style="239" bestFit="1" customWidth="1"/>
    <col min="6" max="6" width="24.28515625" style="239" bestFit="1" customWidth="1"/>
    <col min="7" max="7" width="25.28515625" style="239" bestFit="1" customWidth="1"/>
    <col min="8" max="8" width="33.42578125" style="239" bestFit="1" customWidth="1"/>
    <col min="9" max="9" width="21.5703125" style="239" bestFit="1" customWidth="1"/>
    <col min="10" max="10" width="38.42578125" style="239" bestFit="1" customWidth="1"/>
    <col min="11" max="11" width="33.42578125" style="239" bestFit="1" customWidth="1"/>
    <col min="12" max="12" width="38.42578125" style="239" bestFit="1" customWidth="1"/>
    <col min="13" max="16384" width="9.140625" style="239"/>
  </cols>
  <sheetData>
    <row r="2" spans="2:16" s="155" customFormat="1" ht="15.75" thickBot="1" x14ac:dyDescent="0.3">
      <c r="B2" s="155" t="s">
        <v>29</v>
      </c>
      <c r="K2" s="155">
        <v>25</v>
      </c>
    </row>
    <row r="3" spans="2:16" x14ac:dyDescent="0.25">
      <c r="B3" s="50" t="s">
        <v>30</v>
      </c>
      <c r="C3" s="51" t="s">
        <v>31</v>
      </c>
      <c r="D3" s="51" t="s">
        <v>32</v>
      </c>
      <c r="E3" s="51" t="s">
        <v>202</v>
      </c>
      <c r="F3" s="51" t="s">
        <v>208</v>
      </c>
      <c r="G3" s="51" t="s">
        <v>210</v>
      </c>
      <c r="H3" s="51" t="s">
        <v>196</v>
      </c>
      <c r="I3" s="51" t="s">
        <v>33</v>
      </c>
      <c r="J3" s="52" t="s">
        <v>34</v>
      </c>
      <c r="K3" s="167" t="s">
        <v>35</v>
      </c>
    </row>
    <row r="4" spans="2:16" x14ac:dyDescent="0.25">
      <c r="B4" s="174" t="s">
        <v>36</v>
      </c>
      <c r="C4" s="54">
        <f>21.98-14.68</f>
        <v>7.3000000000000007</v>
      </c>
      <c r="D4" s="54">
        <v>8</v>
      </c>
      <c r="E4" s="54">
        <f>D4</f>
        <v>8</v>
      </c>
      <c r="F4" s="54">
        <v>10.7</v>
      </c>
      <c r="G4" s="54">
        <f>D4</f>
        <v>8</v>
      </c>
      <c r="H4" s="54">
        <v>14</v>
      </c>
      <c r="I4" s="55">
        <f>SUMPRODUCT(C4:H4,$C$6:$H$6)/($I$6)</f>
        <v>7.8526141606526867</v>
      </c>
      <c r="J4" s="247">
        <f>CONVERT(I4,"in","m")</f>
        <v>0.19945639968057824</v>
      </c>
      <c r="K4" s="160">
        <f>K2*CONVERT($I$4,"in","m")</f>
        <v>4.9864099920144556</v>
      </c>
      <c r="L4" s="239" t="s">
        <v>10</v>
      </c>
    </row>
    <row r="5" spans="2:16" x14ac:dyDescent="0.25">
      <c r="B5" s="174" t="s">
        <v>37</v>
      </c>
      <c r="C5" s="54">
        <v>0</v>
      </c>
      <c r="D5" s="57">
        <f>CONVERT(53.3,"mm","in")</f>
        <v>2.0984251968503935</v>
      </c>
      <c r="E5" s="54">
        <f>D5</f>
        <v>2.0984251968503935</v>
      </c>
      <c r="F5" s="54">
        <f>6.77/2</f>
        <v>3.3849999999999998</v>
      </c>
      <c r="G5" s="54">
        <f>D5</f>
        <v>2.0984251968503935</v>
      </c>
      <c r="H5" s="57">
        <f>H12</f>
        <v>-5.8908702952337295</v>
      </c>
      <c r="I5" s="58">
        <f>SUMPRODUCT(C5:H5,$C$6:$H$6)/($I$6)</f>
        <v>0.39468157320464092</v>
      </c>
      <c r="J5" s="176"/>
      <c r="K5" s="160">
        <f>K2*CONVERT($I$5,"in","m")</f>
        <v>0.25062279898494699</v>
      </c>
      <c r="L5" s="239" t="s">
        <v>10</v>
      </c>
      <c r="O5" s="239">
        <v>25</v>
      </c>
      <c r="P5" s="239">
        <f>20/1.82</f>
        <v>10.989010989010989</v>
      </c>
    </row>
    <row r="6" spans="2:16" ht="15.75" thickBot="1" x14ac:dyDescent="0.3">
      <c r="B6" s="174" t="s">
        <v>30</v>
      </c>
      <c r="C6" s="57">
        <v>31.86</v>
      </c>
      <c r="D6" s="165">
        <v>11.38</v>
      </c>
      <c r="E6" s="165">
        <f>'Wet Weights'!E36/2</f>
        <v>0.4938347220075176</v>
      </c>
      <c r="F6" s="165">
        <f>'Wet Weights'!E24/2</f>
        <v>0.8496459733863323</v>
      </c>
      <c r="G6" s="165">
        <f>'Wet Weights'!E4/2</f>
        <v>1.9104715458769521</v>
      </c>
      <c r="H6" s="165">
        <v>2.14</v>
      </c>
      <c r="I6" s="60">
        <f>SUM(C6:H6)</f>
        <v>48.633952241270805</v>
      </c>
      <c r="J6" s="176"/>
      <c r="K6" s="160">
        <f>K2^3*CONVERT(($I$6)*2,"lbf","kN")</f>
        <v>6760.4561748489896</v>
      </c>
      <c r="L6" s="239" t="s">
        <v>38</v>
      </c>
      <c r="O6" s="239">
        <f>I6*O5^3</f>
        <v>759905.5037698563</v>
      </c>
      <c r="P6" s="239">
        <f>I6*P5^3</f>
        <v>64537.982806226362</v>
      </c>
    </row>
    <row r="7" spans="2:16" x14ac:dyDescent="0.25">
      <c r="B7" s="172"/>
      <c r="C7" s="61"/>
      <c r="D7" s="62">
        <v>10.45</v>
      </c>
      <c r="E7" s="62"/>
      <c r="F7" s="62"/>
      <c r="G7" s="62"/>
      <c r="H7" s="62"/>
      <c r="I7" s="172"/>
      <c r="J7" s="172"/>
      <c r="K7" s="160"/>
    </row>
    <row r="8" spans="2:16" x14ac:dyDescent="0.25">
      <c r="B8" s="179"/>
      <c r="C8" s="64"/>
      <c r="D8" s="64"/>
      <c r="E8" s="64"/>
      <c r="F8" s="64"/>
      <c r="G8" s="64"/>
      <c r="H8" s="64"/>
      <c r="I8" s="65">
        <f>I15-I14</f>
        <v>-1.7851518942544757</v>
      </c>
      <c r="J8" s="150" t="s">
        <v>39</v>
      </c>
      <c r="K8" s="160"/>
    </row>
    <row r="9" spans="2:16" ht="15.75" thickBot="1" x14ac:dyDescent="0.3">
      <c r="B9" s="19"/>
      <c r="C9" s="66"/>
      <c r="D9" s="19"/>
      <c r="E9" s="19"/>
      <c r="F9" s="19"/>
      <c r="G9" s="19"/>
      <c r="H9" s="19"/>
      <c r="I9" s="19"/>
      <c r="J9" s="19"/>
      <c r="K9" s="160"/>
    </row>
    <row r="10" spans="2:16" x14ac:dyDescent="0.25">
      <c r="B10" s="50" t="s">
        <v>41</v>
      </c>
      <c r="C10" s="67" t="s">
        <v>42</v>
      </c>
      <c r="D10" s="51" t="s">
        <v>43</v>
      </c>
      <c r="E10" s="51" t="s">
        <v>201</v>
      </c>
      <c r="F10" s="51" t="s">
        <v>209</v>
      </c>
      <c r="G10" s="51" t="s">
        <v>211</v>
      </c>
      <c r="H10" s="51" t="s">
        <v>197</v>
      </c>
      <c r="I10" s="51" t="s">
        <v>44</v>
      </c>
      <c r="J10" s="173"/>
      <c r="K10" s="160"/>
      <c r="L10" s="167"/>
    </row>
    <row r="11" spans="2:16" x14ac:dyDescent="0.25">
      <c r="B11" s="174" t="s">
        <v>36</v>
      </c>
      <c r="C11" s="54">
        <f>21.98-12.81</f>
        <v>9.17</v>
      </c>
      <c r="D11" s="54">
        <v>8</v>
      </c>
      <c r="E11" s="54">
        <f>E4</f>
        <v>8</v>
      </c>
      <c r="F11" s="54">
        <v>10.7</v>
      </c>
      <c r="G11" s="54">
        <f>G4</f>
        <v>8</v>
      </c>
      <c r="H11" s="54">
        <f>H4</f>
        <v>14</v>
      </c>
      <c r="I11" s="55">
        <f>SUMPRODUCT(C11:H11,$C$13:$H$13)/($I$13)</f>
        <v>10.618274571404372</v>
      </c>
      <c r="J11" s="247">
        <f>CONVERT(I11,"in","m")</f>
        <v>0.26970417411367109</v>
      </c>
      <c r="K11" s="160">
        <f>K2*CONVERT($I$11,"in","m")</f>
        <v>6.7426043528417772</v>
      </c>
      <c r="L11" s="239" t="s">
        <v>10</v>
      </c>
    </row>
    <row r="12" spans="2:16" x14ac:dyDescent="0.25">
      <c r="B12" s="174" t="s">
        <v>37</v>
      </c>
      <c r="C12" s="54">
        <v>0</v>
      </c>
      <c r="D12" s="157">
        <v>2.1</v>
      </c>
      <c r="E12" s="54">
        <f>E5</f>
        <v>2.0984251968503935</v>
      </c>
      <c r="F12" s="54">
        <f>F5</f>
        <v>3.3849999999999998</v>
      </c>
      <c r="G12" s="54">
        <f>G5</f>
        <v>2.0984251968503935</v>
      </c>
      <c r="H12" s="54">
        <f>-6.77/2-I21/2</f>
        <v>-5.8908702952337295</v>
      </c>
      <c r="I12" s="58">
        <f>SUMPRODUCT(C12:H12,$C$13:$H$13)/($I$13)</f>
        <v>-1.6934564578546047</v>
      </c>
      <c r="J12" s="176"/>
      <c r="K12" s="160">
        <f>K2*CONVERT($I$12,"in","m")</f>
        <v>-1.0753448507376739</v>
      </c>
      <c r="L12" s="239" t="s">
        <v>10</v>
      </c>
    </row>
    <row r="13" spans="2:16" ht="15.75" thickBot="1" x14ac:dyDescent="0.3">
      <c r="B13" s="177" t="s">
        <v>45</v>
      </c>
      <c r="C13" s="69">
        <v>-33.01</v>
      </c>
      <c r="D13" s="70">
        <f>-0.102*62.4/2</f>
        <v>-3.1823999999999999</v>
      </c>
      <c r="E13" s="70">
        <f>-'Wet Weights'!E38/2</f>
        <v>-0.20742289789952512</v>
      </c>
      <c r="F13" s="70">
        <f>-'Wet Weights'!E26/2</f>
        <v>-0.15906120576258698</v>
      </c>
      <c r="G13" s="70">
        <f>-'Wet Weights'!E7/2</f>
        <v>-1.4232805807288078</v>
      </c>
      <c r="H13" s="70">
        <f>-H36</f>
        <v>-17.859690853008331</v>
      </c>
      <c r="I13" s="71">
        <f>SUM(C13:H13)</f>
        <v>-55.841855537399255</v>
      </c>
      <c r="J13" s="178"/>
      <c r="K13" s="160">
        <f>K2^3*CONVERT(($I$13)*2,"lbf","kN")</f>
        <v>-7762.40465117855</v>
      </c>
      <c r="L13" s="239" t="s">
        <v>38</v>
      </c>
      <c r="O13" s="239">
        <f>I13*O5^3</f>
        <v>-872528.99277186336</v>
      </c>
      <c r="P13" s="239">
        <f>I13*P5^3</f>
        <v>-74102.978402034132</v>
      </c>
    </row>
    <row r="14" spans="2:16" x14ac:dyDescent="0.25">
      <c r="B14" s="174" t="s">
        <v>46</v>
      </c>
      <c r="C14" s="150"/>
      <c r="D14" s="150"/>
      <c r="E14" s="150"/>
      <c r="F14" s="150"/>
      <c r="G14" s="150"/>
      <c r="H14" s="150"/>
      <c r="I14" s="72">
        <f>-E56</f>
        <v>-5.422751401873974</v>
      </c>
      <c r="J14" s="176"/>
    </row>
    <row r="15" spans="2:16" ht="15.75" thickBot="1" x14ac:dyDescent="0.3">
      <c r="B15" s="177" t="s">
        <v>47</v>
      </c>
      <c r="C15" s="73">
        <f>C13+C6</f>
        <v>-1.1499999999999986</v>
      </c>
      <c r="D15" s="19"/>
      <c r="E15" s="19"/>
      <c r="F15" s="19"/>
      <c r="G15" s="19"/>
      <c r="H15" s="19"/>
      <c r="I15" s="74">
        <f>I13+I6</f>
        <v>-7.2079032961284497</v>
      </c>
      <c r="J15" s="178"/>
      <c r="K15" s="160">
        <f>K2^3*CONVERT(($I$15)*2,"lbf","kN")</f>
        <v>-1001.9484763295617</v>
      </c>
      <c r="L15" s="239" t="s">
        <v>38</v>
      </c>
    </row>
    <row r="16" spans="2:16" ht="15.75" thickBot="1" x14ac:dyDescent="0.3"/>
    <row r="17" spans="2:11" x14ac:dyDescent="0.25">
      <c r="B17" s="166"/>
      <c r="E17" s="135"/>
      <c r="F17" s="135"/>
      <c r="G17" s="135"/>
      <c r="I17" s="155" t="s">
        <v>48</v>
      </c>
      <c r="K17" s="75" t="s">
        <v>49</v>
      </c>
    </row>
    <row r="18" spans="2:11" x14ac:dyDescent="0.25">
      <c r="E18" s="64"/>
      <c r="F18" s="64"/>
      <c r="G18" s="64"/>
      <c r="H18" s="156">
        <f>12^3*((-H13-H6)/62.4)</f>
        <v>435.31451592946144</v>
      </c>
      <c r="I18" s="239">
        <v>434</v>
      </c>
      <c r="J18" s="239" t="s">
        <v>203</v>
      </c>
      <c r="K18" s="77">
        <v>20.8</v>
      </c>
    </row>
    <row r="19" spans="2:11" x14ac:dyDescent="0.25">
      <c r="E19" s="64"/>
      <c r="F19" s="64"/>
      <c r="G19" s="64"/>
      <c r="H19" s="156">
        <v>22</v>
      </c>
      <c r="I19" s="156">
        <v>22</v>
      </c>
      <c r="J19" s="239" t="s">
        <v>104</v>
      </c>
      <c r="K19" s="77" t="s">
        <v>50</v>
      </c>
    </row>
    <row r="20" spans="2:11" ht="15.75" thickBot="1" x14ac:dyDescent="0.3">
      <c r="H20" s="156">
        <f>H18/H19</f>
        <v>19.787023451339156</v>
      </c>
      <c r="I20" s="156">
        <f>I18/I19</f>
        <v>19.727272727272727</v>
      </c>
      <c r="J20" s="239" t="s">
        <v>51</v>
      </c>
      <c r="K20" s="78">
        <f>K18/I15</f>
        <v>-2.8857212902914799</v>
      </c>
    </row>
    <row r="21" spans="2:11" x14ac:dyDescent="0.25">
      <c r="E21" s="156"/>
      <c r="F21" s="156"/>
      <c r="G21" s="156"/>
      <c r="H21" s="156">
        <f>2*SQRT(H20/PI())</f>
        <v>5.0193247285712701</v>
      </c>
      <c r="I21" s="156">
        <f>2*SQRT(I20/PI())</f>
        <v>5.0117405904674595</v>
      </c>
      <c r="J21" s="239" t="s">
        <v>52</v>
      </c>
    </row>
    <row r="22" spans="2:11" x14ac:dyDescent="0.25">
      <c r="D22" s="156"/>
      <c r="H22" s="156">
        <f>SQRT(H20)</f>
        <v>4.4482607220507155</v>
      </c>
      <c r="I22" s="156">
        <f>SQRT(I20)</f>
        <v>4.4415394546567661</v>
      </c>
      <c r="J22" s="239" t="s">
        <v>200</v>
      </c>
    </row>
    <row r="23" spans="2:11" x14ac:dyDescent="0.25">
      <c r="J23" s="167"/>
    </row>
    <row r="24" spans="2:11" x14ac:dyDescent="0.25">
      <c r="H24" s="156">
        <f>2*((H18-C46)/12^3)*62.4</f>
        <v>6.6500067060166623</v>
      </c>
      <c r="I24" s="156">
        <f>2*((I18-C46)/12^3)*62.4</f>
        <v>6.5550694444444479</v>
      </c>
      <c r="J24" s="151" t="s">
        <v>205</v>
      </c>
    </row>
    <row r="25" spans="2:11" x14ac:dyDescent="0.25">
      <c r="H25" s="151" t="s">
        <v>206</v>
      </c>
      <c r="I25" s="151" t="s">
        <v>204</v>
      </c>
    </row>
    <row r="26" spans="2:11" x14ac:dyDescent="0.25">
      <c r="B26" s="155" t="s">
        <v>103</v>
      </c>
      <c r="I26" s="239" t="s">
        <v>216</v>
      </c>
    </row>
    <row r="27" spans="2:11" ht="15.75" thickBot="1" x14ac:dyDescent="0.3">
      <c r="C27" s="155" t="s">
        <v>101</v>
      </c>
    </row>
    <row r="28" spans="2:11" x14ac:dyDescent="0.25">
      <c r="H28" s="240" t="s">
        <v>243</v>
      </c>
      <c r="I28" s="172"/>
      <c r="J28" s="173"/>
    </row>
    <row r="29" spans="2:11" ht="15.75" thickBot="1" x14ac:dyDescent="0.3">
      <c r="C29" s="160">
        <f>-I15*2</f>
        <v>14.415806592256899</v>
      </c>
      <c r="D29" s="79" t="s">
        <v>58</v>
      </c>
      <c r="H29" s="241">
        <v>8104.65</v>
      </c>
      <c r="I29" s="150" t="s">
        <v>225</v>
      </c>
      <c r="J29" s="176"/>
    </row>
    <row r="30" spans="2:11" ht="16.5" thickTop="1" thickBot="1" x14ac:dyDescent="0.3">
      <c r="C30" s="160">
        <f>19.7*0.868</f>
        <v>17.099599999999999</v>
      </c>
      <c r="D30" s="79" t="s">
        <v>59</v>
      </c>
      <c r="H30" s="242">
        <f>H29*0.06102374</f>
        <v>494.57605439099996</v>
      </c>
      <c r="I30" s="150" t="s">
        <v>222</v>
      </c>
      <c r="J30" s="176"/>
    </row>
    <row r="31" spans="2:11" ht="15.75" thickTop="1" x14ac:dyDescent="0.25">
      <c r="H31" s="241">
        <v>801.26</v>
      </c>
      <c r="I31" s="150" t="s">
        <v>224</v>
      </c>
      <c r="J31" s="176"/>
    </row>
    <row r="32" spans="2:11" x14ac:dyDescent="0.25">
      <c r="B32" s="113" t="s">
        <v>61</v>
      </c>
      <c r="C32" s="113" t="s">
        <v>62</v>
      </c>
      <c r="H32" s="168">
        <f>H31*0.06102374</f>
        <v>48.8958819124</v>
      </c>
      <c r="I32" s="150" t="s">
        <v>223</v>
      </c>
      <c r="J32" s="176"/>
    </row>
    <row r="33" spans="2:10" x14ac:dyDescent="0.25">
      <c r="B33" s="239">
        <v>4.5</v>
      </c>
      <c r="C33" s="160">
        <v>4.5</v>
      </c>
      <c r="D33" s="79" t="s">
        <v>63</v>
      </c>
      <c r="H33" s="174">
        <v>1.21</v>
      </c>
      <c r="I33" s="150" t="s">
        <v>226</v>
      </c>
      <c r="J33" s="176"/>
    </row>
    <row r="34" spans="2:10" x14ac:dyDescent="0.25">
      <c r="B34" s="239">
        <v>4.5</v>
      </c>
      <c r="C34" s="160">
        <v>4.5</v>
      </c>
      <c r="D34" s="139" t="s">
        <v>64</v>
      </c>
      <c r="H34" s="168">
        <f>H33*H31/1000</f>
        <v>0.96952459999999996</v>
      </c>
      <c r="I34" s="150" t="s">
        <v>218</v>
      </c>
      <c r="J34" s="176"/>
    </row>
    <row r="35" spans="2:10" x14ac:dyDescent="0.25">
      <c r="B35" s="239">
        <f>21+(7/16)</f>
        <v>21.4375</v>
      </c>
      <c r="C35" s="158">
        <v>17.155555555555551</v>
      </c>
      <c r="D35" s="79" t="s">
        <v>66</v>
      </c>
      <c r="H35" s="168">
        <f>CONVERT(H34*9.81,"N","lbf")</f>
        <v>2.1381660242310132</v>
      </c>
      <c r="I35" s="150" t="s">
        <v>219</v>
      </c>
      <c r="J35" s="176"/>
    </row>
    <row r="36" spans="2:10" x14ac:dyDescent="0.25">
      <c r="C36" s="86">
        <f>2*(C33*C34*C35)/(12*12*12)*62.4</f>
        <v>25.089999999999993</v>
      </c>
      <c r="D36" s="79" t="s">
        <v>67</v>
      </c>
      <c r="H36" s="168">
        <f>(H30/12^3)*62.4</f>
        <v>17.859690853008331</v>
      </c>
      <c r="I36" s="150" t="s">
        <v>220</v>
      </c>
      <c r="J36" s="176"/>
    </row>
    <row r="37" spans="2:10" x14ac:dyDescent="0.25">
      <c r="C37" s="160">
        <f>(2*(B33*B34*B35)/(12*12*12)*62.4)-(C30-C29)</f>
        <v>28.6685503422569</v>
      </c>
      <c r="D37" s="79" t="s">
        <v>69</v>
      </c>
      <c r="H37" s="168">
        <f>H36-H35</f>
        <v>15.721524828777317</v>
      </c>
      <c r="I37" s="150" t="s">
        <v>221</v>
      </c>
      <c r="J37" s="176"/>
    </row>
    <row r="38" spans="2:10" x14ac:dyDescent="0.25">
      <c r="H38" s="174"/>
      <c r="I38" s="150"/>
      <c r="J38" s="176"/>
    </row>
    <row r="39" spans="2:10" x14ac:dyDescent="0.25">
      <c r="C39" s="160">
        <f>-2*H13</f>
        <v>35.719381706016662</v>
      </c>
      <c r="D39" s="239" t="s">
        <v>70</v>
      </c>
      <c r="H39" s="168">
        <f>12^3*(H35/62.4)</f>
        <v>59.210751440243442</v>
      </c>
      <c r="I39" s="150" t="s">
        <v>228</v>
      </c>
      <c r="J39" s="176"/>
    </row>
    <row r="40" spans="2:10" ht="15.75" thickBot="1" x14ac:dyDescent="0.3">
      <c r="C40" s="160">
        <f>C39-C37</f>
        <v>7.0508313637597624</v>
      </c>
      <c r="D40" s="79" t="s">
        <v>71</v>
      </c>
      <c r="H40" s="174">
        <f>I18</f>
        <v>434</v>
      </c>
      <c r="I40" s="150" t="s">
        <v>232</v>
      </c>
      <c r="J40" s="176"/>
    </row>
    <row r="41" spans="2:10" ht="16.5" thickTop="1" thickBot="1" x14ac:dyDescent="0.3">
      <c r="H41" s="243">
        <f>SUM(H39:H40)</f>
        <v>493.21075144024343</v>
      </c>
      <c r="I41" s="19" t="s">
        <v>227</v>
      </c>
      <c r="J41" s="178"/>
    </row>
    <row r="42" spans="2:10" ht="15.75" thickBot="1" x14ac:dyDescent="0.3">
      <c r="C42" s="155" t="s">
        <v>102</v>
      </c>
      <c r="H42" s="156"/>
    </row>
    <row r="43" spans="2:10" x14ac:dyDescent="0.25">
      <c r="C43" s="239">
        <v>16.95</v>
      </c>
      <c r="D43" s="239" t="s">
        <v>96</v>
      </c>
      <c r="H43" s="240" t="s">
        <v>231</v>
      </c>
      <c r="I43" s="172"/>
      <c r="J43" s="173"/>
    </row>
    <row r="44" spans="2:10" x14ac:dyDescent="0.25">
      <c r="C44" s="239">
        <v>4.5</v>
      </c>
      <c r="D44" s="239" t="s">
        <v>97</v>
      </c>
      <c r="H44" s="174">
        <v>45.5</v>
      </c>
      <c r="I44" s="151" t="s">
        <v>229</v>
      </c>
      <c r="J44" s="176"/>
    </row>
    <row r="45" spans="2:10" x14ac:dyDescent="0.25">
      <c r="C45" s="239">
        <v>4.5</v>
      </c>
      <c r="D45" s="239" t="s">
        <v>98</v>
      </c>
      <c r="H45" s="174">
        <v>20</v>
      </c>
      <c r="I45" s="151" t="s">
        <v>230</v>
      </c>
      <c r="J45" s="176"/>
    </row>
    <row r="46" spans="2:10" x14ac:dyDescent="0.25">
      <c r="C46" s="156">
        <f>C43*C44*C45</f>
        <v>343.23749999999995</v>
      </c>
      <c r="D46" s="239" t="s">
        <v>198</v>
      </c>
      <c r="H46" s="168">
        <f>-I14*((H44/H45)-1)</f>
        <v>6.9140080373893165</v>
      </c>
      <c r="I46" s="150" t="str">
        <f>"Additional Buoyancy for "&amp;H45&amp;"m Rotor Thrust (lbf)"</f>
        <v>Additional Buoyancy for 20m Rotor Thrust (lbf)</v>
      </c>
      <c r="J46" s="176"/>
    </row>
    <row r="47" spans="2:10" x14ac:dyDescent="0.25">
      <c r="C47" s="239">
        <v>4.4999999999999998E-2</v>
      </c>
      <c r="D47" s="239" t="s">
        <v>99</v>
      </c>
      <c r="H47" s="168">
        <f>12^3*(H46/62.4)</f>
        <v>191.4648379584734</v>
      </c>
      <c r="I47" s="150" t="s">
        <v>242</v>
      </c>
      <c r="J47" s="176"/>
    </row>
    <row r="48" spans="2:10" x14ac:dyDescent="0.25">
      <c r="C48" s="239">
        <v>4.3999999999999997E-2</v>
      </c>
      <c r="D48" s="239" t="s">
        <v>100</v>
      </c>
      <c r="H48" s="174"/>
      <c r="I48" s="150"/>
      <c r="J48" s="176"/>
    </row>
    <row r="49" spans="2:10" ht="15.75" thickBot="1" x14ac:dyDescent="0.3">
      <c r="H49" s="241">
        <v>11834.62</v>
      </c>
      <c r="I49" s="150" t="s">
        <v>234</v>
      </c>
      <c r="J49" s="176"/>
    </row>
    <row r="50" spans="2:10" ht="16.5" thickTop="1" thickBot="1" x14ac:dyDescent="0.3">
      <c r="H50" s="242">
        <f>H49*0.06102374</f>
        <v>722.19277387880004</v>
      </c>
      <c r="I50" s="150" t="s">
        <v>235</v>
      </c>
      <c r="J50" s="176"/>
    </row>
    <row r="51" spans="2:10" ht="15.75" thickTop="1" x14ac:dyDescent="0.25">
      <c r="B51" s="50" t="s">
        <v>53</v>
      </c>
      <c r="C51" s="51" t="s">
        <v>54</v>
      </c>
      <c r="D51" s="51" t="s">
        <v>55</v>
      </c>
      <c r="E51" s="52" t="s">
        <v>56</v>
      </c>
      <c r="F51" s="179"/>
      <c r="G51" s="179"/>
      <c r="H51" s="241">
        <v>1293.97</v>
      </c>
      <c r="I51" s="150" t="s">
        <v>236</v>
      </c>
      <c r="J51" s="176"/>
    </row>
    <row r="52" spans="2:10" x14ac:dyDescent="0.25">
      <c r="B52" s="174" t="s">
        <v>57</v>
      </c>
      <c r="C52" s="64">
        <v>4866</v>
      </c>
      <c r="D52" s="64">
        <f>CONVERT((C52/25^3)/2,"kN","lbf")</f>
        <v>35.005450147942113</v>
      </c>
      <c r="E52" s="169"/>
      <c r="F52" s="64"/>
      <c r="G52" s="64"/>
      <c r="H52" s="168">
        <f>H51*0.06102374</f>
        <v>78.962888847800002</v>
      </c>
      <c r="I52" s="150" t="s">
        <v>237</v>
      </c>
      <c r="J52" s="176"/>
    </row>
    <row r="53" spans="2:10" x14ac:dyDescent="0.25">
      <c r="B53" s="174" t="s">
        <v>41</v>
      </c>
      <c r="C53" s="64">
        <v>6001</v>
      </c>
      <c r="D53" s="64">
        <f>CONVERT((C53/25^3)/2,"kN","lbf")</f>
        <v>43.1705109613236</v>
      </c>
      <c r="E53" s="169">
        <f>D53-D52</f>
        <v>8.165060813381487</v>
      </c>
      <c r="F53" s="64"/>
      <c r="G53" s="64"/>
      <c r="H53" s="174">
        <v>1.21</v>
      </c>
      <c r="I53" s="150" t="s">
        <v>226</v>
      </c>
      <c r="J53" s="176"/>
    </row>
    <row r="54" spans="2:10" x14ac:dyDescent="0.25">
      <c r="B54" s="80" t="s">
        <v>60</v>
      </c>
      <c r="C54" s="81" t="s">
        <v>54</v>
      </c>
      <c r="D54" s="81" t="s">
        <v>55</v>
      </c>
      <c r="E54" s="82" t="s">
        <v>56</v>
      </c>
      <c r="F54" s="81"/>
      <c r="G54" s="81"/>
      <c r="H54" s="168">
        <f>H53*H51/1000</f>
        <v>1.5657037</v>
      </c>
      <c r="I54" s="150" t="s">
        <v>238</v>
      </c>
      <c r="J54" s="176"/>
    </row>
    <row r="55" spans="2:10" x14ac:dyDescent="0.25">
      <c r="B55" s="174" t="s">
        <v>57</v>
      </c>
      <c r="C55" s="83">
        <f>2423.1*2</f>
        <v>4846.2</v>
      </c>
      <c r="D55" s="64">
        <f>CONVERT((C55/25^3)/2,"kN","lbf")</f>
        <v>34.863011201594141</v>
      </c>
      <c r="E55" s="169"/>
      <c r="F55" s="64"/>
      <c r="G55" s="64"/>
      <c r="H55" s="168">
        <f>CONVERT(H54*9.81,"N","lbf")</f>
        <v>3.4529649431822436</v>
      </c>
      <c r="I55" s="150" t="s">
        <v>239</v>
      </c>
      <c r="J55" s="176"/>
    </row>
    <row r="56" spans="2:10" ht="15.75" thickBot="1" x14ac:dyDescent="0.3">
      <c r="B56" s="177" t="s">
        <v>41</v>
      </c>
      <c r="C56" s="84">
        <v>5600</v>
      </c>
      <c r="D56" s="66">
        <f>CONVERT((C56/25^3)/2,"kN","lbf")</f>
        <v>40.285762603468115</v>
      </c>
      <c r="E56" s="170">
        <f>D56-D55</f>
        <v>5.422751401873974</v>
      </c>
      <c r="F56" s="64"/>
      <c r="G56" s="64"/>
      <c r="H56" s="168">
        <f>(H50/12^3)*62.4</f>
        <v>26.079183501178889</v>
      </c>
      <c r="I56" s="150" t="s">
        <v>240</v>
      </c>
      <c r="J56" s="176"/>
    </row>
    <row r="57" spans="2:10" x14ac:dyDescent="0.25">
      <c r="E57" s="139"/>
      <c r="F57" s="139"/>
      <c r="G57" s="139"/>
      <c r="H57" s="168">
        <f>H56-H55</f>
        <v>22.626218557996644</v>
      </c>
      <c r="I57" s="150" t="s">
        <v>241</v>
      </c>
      <c r="J57" s="176"/>
    </row>
    <row r="58" spans="2:10" x14ac:dyDescent="0.25">
      <c r="B58" s="239" t="s">
        <v>65</v>
      </c>
      <c r="C58" s="239">
        <v>6873</v>
      </c>
      <c r="H58" s="174"/>
      <c r="I58" s="150"/>
      <c r="J58" s="176"/>
    </row>
    <row r="59" spans="2:10" x14ac:dyDescent="0.25">
      <c r="C59" s="239">
        <v>7627</v>
      </c>
      <c r="H59" s="168">
        <f>12^3*(H55/62.4)</f>
        <v>95.620567657354442</v>
      </c>
      <c r="I59" s="150" t="s">
        <v>228</v>
      </c>
      <c r="J59" s="176"/>
    </row>
    <row r="60" spans="2:10" ht="15.75" thickBot="1" x14ac:dyDescent="0.3">
      <c r="C60" s="156">
        <f>CONVERT(C58*(1/25)^3,"kN","lbf")/2</f>
        <v>49.443579709577932</v>
      </c>
      <c r="D60" s="239" t="s">
        <v>68</v>
      </c>
      <c r="H60" s="168">
        <f>H47+H40</f>
        <v>625.46483795847337</v>
      </c>
      <c r="I60" s="150" t="s">
        <v>233</v>
      </c>
      <c r="J60" s="176"/>
    </row>
    <row r="61" spans="2:10" ht="16.5" thickTop="1" thickBot="1" x14ac:dyDescent="0.3">
      <c r="H61" s="243">
        <f>SUM(H59:H60)</f>
        <v>721.08540561582777</v>
      </c>
      <c r="I61" s="19" t="s">
        <v>227</v>
      </c>
      <c r="J61" s="178"/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Mooring Configurations</vt:lpstr>
      <vt:lpstr>Mooring Lengths</vt:lpstr>
      <vt:lpstr>Wing</vt:lpstr>
      <vt:lpstr>Wet Weights</vt:lpstr>
      <vt:lpstr>CG-CB Prototype Check-Out</vt:lpstr>
      <vt:lpstr>CG-CB Final Baseline</vt:lpstr>
      <vt:lpstr>CG-CB Final Low Fr#</vt:lpstr>
      <vt:lpstr>CG-CB Final Upwind</vt:lpstr>
      <vt:lpstr>'Mooring Configurations'!Print_Area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Swales</dc:creator>
  <cp:lastModifiedBy>Henry Swales</cp:lastModifiedBy>
  <cp:lastPrinted>2013-11-28T02:25:30Z</cp:lastPrinted>
  <dcterms:created xsi:type="dcterms:W3CDTF">2013-09-24T00:26:52Z</dcterms:created>
  <dcterms:modified xsi:type="dcterms:W3CDTF">2013-11-28T02:38:59Z</dcterms:modified>
</cp:coreProperties>
</file>